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5.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6.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7.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8.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9.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0.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1.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2.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3.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4.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5.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6.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7.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8.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9.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0.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1.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2.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3.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4.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5.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6.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7.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8.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9.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0.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1.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2.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3.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4.xml" ContentType="application/vnd.openxmlformats-officedocument.drawing+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5.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6.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7.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48.xml" ContentType="application/vnd.openxmlformats-officedocument.drawing+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49.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0.xml" ContentType="application/vnd.openxmlformats-officedocument.drawing+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1.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3.xml" ContentType="application/vnd.openxmlformats-officedocument.drawing+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54.xml" ContentType="application/vnd.openxmlformats-officedocument.drawing+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55.xml" ContentType="application/vnd.openxmlformats-officedocument.drawing+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56.xml" ContentType="application/vnd.openxmlformats-officedocument.drawing+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57.xml" ContentType="application/vnd.openxmlformats-officedocument.drawing+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58.xml" ContentType="application/vnd.openxmlformats-officedocument.drawing+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59.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60.xml" ContentType="application/vnd.openxmlformats-officedocument.drawing+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61.xml" ContentType="application/vnd.openxmlformats-officedocument.drawing+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62.xml" ContentType="application/vnd.openxmlformats-officedocument.drawing+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63.xml" ContentType="application/vnd.openxmlformats-officedocument.drawing+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64.xml" ContentType="application/vnd.openxmlformats-officedocument.drawing+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65.xml" ContentType="application/vnd.openxmlformats-officedocument.drawing+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66.xml" ContentType="application/vnd.openxmlformats-officedocument.drawing+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67.xml" ContentType="application/vnd.openxmlformats-officedocument.drawing+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68.xml" ContentType="application/vnd.openxmlformats-officedocument.drawing+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69.xml" ContentType="application/vnd.openxmlformats-officedocument.drawing+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70.xml" ContentType="application/vnd.openxmlformats-officedocument.drawing+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71.xml" ContentType="application/vnd.openxmlformats-officedocument.drawing+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72.xml" ContentType="application/vnd.openxmlformats-officedocument.drawing+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73.xml" ContentType="application/vnd.openxmlformats-officedocument.drawing+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74.xml" ContentType="application/vnd.openxmlformats-officedocument.drawing+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75.xml" ContentType="application/vnd.openxmlformats-officedocument.drawing+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76.xml" ContentType="application/vnd.openxmlformats-officedocument.drawing+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77.xml" ContentType="application/vnd.openxmlformats-officedocument.drawing+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78.xml" ContentType="application/vnd.openxmlformats-officedocument.drawing+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79.xml" ContentType="application/vnd.openxmlformats-officedocument.drawing+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80.xml" ContentType="application/vnd.openxmlformats-officedocument.drawing+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81.xml" ContentType="application/vnd.openxmlformats-officedocument.drawing+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82.xml" ContentType="application/vnd.openxmlformats-officedocument.drawing+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83.xml" ContentType="application/vnd.openxmlformats-officedocument.drawing+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84.xml" ContentType="application/vnd.openxmlformats-officedocument.drawing+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85.xml" ContentType="application/vnd.openxmlformats-officedocument.drawing+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86.xml" ContentType="application/vnd.openxmlformats-officedocument.drawing+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87.xml" ContentType="application/vnd.openxmlformats-officedocument.drawing+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88.xml" ContentType="application/vnd.openxmlformats-officedocument.drawing+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89.xml" ContentType="application/vnd.openxmlformats-officedocument.drawing+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90.xml" ContentType="application/vnd.openxmlformats-officedocument.drawing+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91.xml" ContentType="application/vnd.openxmlformats-officedocument.drawing+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92.xml" ContentType="application/vnd.openxmlformats-officedocument.drawing+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93.xml" ContentType="application/vnd.openxmlformats-officedocument.drawing+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94.xml" ContentType="application/vnd.openxmlformats-officedocument.drawing+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95.xml" ContentType="application/vnd.openxmlformats-officedocument.drawing+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96.xml" ContentType="application/vnd.openxmlformats-officedocument.drawing+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97.xml" ContentType="application/vnd.openxmlformats-officedocument.drawing+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98.xml" ContentType="application/vnd.openxmlformats-officedocument.drawing+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99.xml" ContentType="application/vnd.openxmlformats-officedocument.drawing+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100.xml" ContentType="application/vnd.openxmlformats-officedocument.drawing+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101.xml" ContentType="application/vnd.openxmlformats-officedocument.drawing+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102.xml" ContentType="application/vnd.openxmlformats-officedocument.drawing+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103.xml" ContentType="application/vnd.openxmlformats-officedocument.drawing+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104.xml" ContentType="application/vnd.openxmlformats-officedocument.drawing+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105.xml" ContentType="application/vnd.openxmlformats-officedocument.drawing+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106.xml" ContentType="application/vnd.openxmlformats-officedocument.drawing+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107.xml" ContentType="application/vnd.openxmlformats-officedocument.drawing+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108.xml" ContentType="application/vnd.openxmlformats-officedocument.drawing+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drawings/drawing109.xml" ContentType="application/vnd.openxmlformats-officedocument.drawing+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drawings/drawing110.xml" ContentType="application/vnd.openxmlformats-officedocument.drawing+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drawings/drawing111.xml" ContentType="application/vnd.openxmlformats-officedocument.drawing+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drawings/drawing112.xml" ContentType="application/vnd.openxmlformats-officedocument.drawing+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drawings/drawing113.xml" ContentType="application/vnd.openxmlformats-officedocument.drawing+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drawings/drawing114.xml" ContentType="application/vnd.openxmlformats-officedocument.drawing+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drawings/drawing115.xml" ContentType="application/vnd.openxmlformats-officedocument.drawing+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drawings/drawing116.xml" ContentType="application/vnd.openxmlformats-officedocument.drawing+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drawings/drawing117.xml" ContentType="application/vnd.openxmlformats-officedocument.drawing+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drawings/drawing118.xml" ContentType="application/vnd.openxmlformats-officedocument.drawing+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drawings/drawing119.xml" ContentType="application/vnd.openxmlformats-officedocument.drawing+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drawings/drawing120.xml" ContentType="application/vnd.openxmlformats-officedocument.drawing+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drawings/drawing121.xml" ContentType="application/vnd.openxmlformats-officedocument.drawing+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drawings/drawing122.xml" ContentType="application/vnd.openxmlformats-officedocument.drawing+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drawings/drawing123.xml" ContentType="application/vnd.openxmlformats-officedocument.drawing+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drawings/drawing124.xml" ContentType="application/vnd.openxmlformats-officedocument.drawing+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drawings/drawing125.xml" ContentType="application/vnd.openxmlformats-officedocument.drawing+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drawings/drawing126.xml" ContentType="application/vnd.openxmlformats-officedocument.drawing+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drawings/drawing127.xml" ContentType="application/vnd.openxmlformats-officedocument.drawing+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drawings/drawing128.xml" ContentType="application/vnd.openxmlformats-officedocument.drawing+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drawings/drawing129.xml" ContentType="application/vnd.openxmlformats-officedocument.drawing+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drawings/drawing130.xml" ContentType="application/vnd.openxmlformats-officedocument.drawing+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drawings/drawing131.xml" ContentType="application/vnd.openxmlformats-officedocument.drawing+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drawings/drawing132.xml" ContentType="application/vnd.openxmlformats-officedocument.drawing+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drawings/drawing133.xml" ContentType="application/vnd.openxmlformats-officedocument.drawing+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drawings/drawing134.xml" ContentType="application/vnd.openxmlformats-officedocument.drawing+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drawings/drawing135.xml" ContentType="application/vnd.openxmlformats-officedocument.drawing+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drawings/drawing136.xml" ContentType="application/vnd.openxmlformats-officedocument.drawing+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drawings/drawing137.xml" ContentType="application/vnd.openxmlformats-officedocument.drawing+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drawings/drawing138.xml" ContentType="application/vnd.openxmlformats-officedocument.drawing+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drawings/drawing139.xml" ContentType="application/vnd.openxmlformats-officedocument.drawing+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drawings/drawing140.xml" ContentType="application/vnd.openxmlformats-officedocument.drawing+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drawings/drawing141.xml" ContentType="application/vnd.openxmlformats-officedocument.drawing+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drawings/drawing142.xml" ContentType="application/vnd.openxmlformats-officedocument.drawing+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drawings/drawing143.xml" ContentType="application/vnd.openxmlformats-officedocument.drawing+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drawings/drawing144.xml" ContentType="application/vnd.openxmlformats-officedocument.drawing+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drawings/drawing145.xml" ContentType="application/vnd.openxmlformats-officedocument.drawing+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drawings/drawing146.xml" ContentType="application/vnd.openxmlformats-officedocument.drawing+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drawings/drawing147.xml" ContentType="application/vnd.openxmlformats-officedocument.drawing+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drawings/drawing148.xml" ContentType="application/vnd.openxmlformats-officedocument.drawing+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drawings/drawing149.xml" ContentType="application/vnd.openxmlformats-officedocument.drawing+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drawings/drawing150.xml" ContentType="application/vnd.openxmlformats-officedocument.drawing+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drawings/drawing151.xml" ContentType="application/vnd.openxmlformats-officedocument.drawing+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drawings/drawing152.xml" ContentType="application/vnd.openxmlformats-officedocument.drawing+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drawings/drawing153.xml" ContentType="application/vnd.openxmlformats-officedocument.drawing+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drawings/drawing154.xml" ContentType="application/vnd.openxmlformats-officedocument.drawing+xml"/>
  <Override PartName="/xl/charts/chart154.xml" ContentType="application/vnd.openxmlformats-officedocument.drawingml.chart+xml"/>
  <Override PartName="/xl/charts/style154.xml" ContentType="application/vnd.ms-office.chartstyle+xml"/>
  <Override PartName="/xl/charts/colors154.xml" ContentType="application/vnd.ms-office.chartcolorstyle+xml"/>
  <Override PartName="/xl/drawings/drawing155.xml" ContentType="application/vnd.openxmlformats-officedocument.drawing+xml"/>
  <Override PartName="/xl/charts/chart155.xml" ContentType="application/vnd.openxmlformats-officedocument.drawingml.chart+xml"/>
  <Override PartName="/xl/charts/style155.xml" ContentType="application/vnd.ms-office.chartstyle+xml"/>
  <Override PartName="/xl/charts/colors155.xml" ContentType="application/vnd.ms-office.chartcolorstyle+xml"/>
  <Override PartName="/xl/drawings/drawing156.xml" ContentType="application/vnd.openxmlformats-officedocument.drawing+xml"/>
  <Override PartName="/xl/charts/chart156.xml" ContentType="application/vnd.openxmlformats-officedocument.drawingml.chart+xml"/>
  <Override PartName="/xl/charts/style156.xml" ContentType="application/vnd.ms-office.chartstyle+xml"/>
  <Override PartName="/xl/charts/colors156.xml" ContentType="application/vnd.ms-office.chartcolorstyle+xml"/>
  <Override PartName="/xl/drawings/drawing157.xml" ContentType="application/vnd.openxmlformats-officedocument.drawing+xml"/>
  <Override PartName="/xl/charts/chart157.xml" ContentType="application/vnd.openxmlformats-officedocument.drawingml.chart+xml"/>
  <Override PartName="/xl/charts/style157.xml" ContentType="application/vnd.ms-office.chartstyle+xml"/>
  <Override PartName="/xl/charts/colors157.xml" ContentType="application/vnd.ms-office.chartcolorstyle+xml"/>
  <Override PartName="/xl/drawings/drawing158.xml" ContentType="application/vnd.openxmlformats-officedocument.drawing+xml"/>
  <Override PartName="/xl/charts/chart158.xml" ContentType="application/vnd.openxmlformats-officedocument.drawingml.chart+xml"/>
  <Override PartName="/xl/charts/style158.xml" ContentType="application/vnd.ms-office.chartstyle+xml"/>
  <Override PartName="/xl/charts/colors158.xml" ContentType="application/vnd.ms-office.chartcolorstyle+xml"/>
  <Override PartName="/xl/drawings/drawing159.xml" ContentType="application/vnd.openxmlformats-officedocument.drawing+xml"/>
  <Override PartName="/xl/charts/chart159.xml" ContentType="application/vnd.openxmlformats-officedocument.drawingml.chart+xml"/>
  <Override PartName="/xl/charts/style159.xml" ContentType="application/vnd.ms-office.chartstyle+xml"/>
  <Override PartName="/xl/charts/colors159.xml" ContentType="application/vnd.ms-office.chartcolorstyle+xml"/>
  <Override PartName="/xl/drawings/drawing160.xml" ContentType="application/vnd.openxmlformats-officedocument.drawing+xml"/>
  <Override PartName="/xl/charts/chart160.xml" ContentType="application/vnd.openxmlformats-officedocument.drawingml.chart+xml"/>
  <Override PartName="/xl/charts/style160.xml" ContentType="application/vnd.ms-office.chartstyle+xml"/>
  <Override PartName="/xl/charts/colors160.xml" ContentType="application/vnd.ms-office.chartcolorstyle+xml"/>
  <Override PartName="/xl/drawings/drawing161.xml" ContentType="application/vnd.openxmlformats-officedocument.drawing+xml"/>
  <Override PartName="/xl/charts/chart161.xml" ContentType="application/vnd.openxmlformats-officedocument.drawingml.chart+xml"/>
  <Override PartName="/xl/charts/style161.xml" ContentType="application/vnd.ms-office.chartstyle+xml"/>
  <Override PartName="/xl/charts/colors161.xml" ContentType="application/vnd.ms-office.chartcolorstyle+xml"/>
  <Override PartName="/xl/drawings/drawing162.xml" ContentType="application/vnd.openxmlformats-officedocument.drawing+xml"/>
  <Override PartName="/xl/charts/chart162.xml" ContentType="application/vnd.openxmlformats-officedocument.drawingml.chart+xml"/>
  <Override PartName="/xl/charts/style162.xml" ContentType="application/vnd.ms-office.chartstyle+xml"/>
  <Override PartName="/xl/charts/colors162.xml" ContentType="application/vnd.ms-office.chartcolorstyle+xml"/>
  <Override PartName="/xl/drawings/drawing163.xml" ContentType="application/vnd.openxmlformats-officedocument.drawing+xml"/>
  <Override PartName="/xl/charts/chart163.xml" ContentType="application/vnd.openxmlformats-officedocument.drawingml.chart+xml"/>
  <Override PartName="/xl/charts/style163.xml" ContentType="application/vnd.ms-office.chartstyle+xml"/>
  <Override PartName="/xl/charts/colors163.xml" ContentType="application/vnd.ms-office.chartcolorstyle+xml"/>
  <Override PartName="/xl/drawings/drawing164.xml" ContentType="application/vnd.openxmlformats-officedocument.drawing+xml"/>
  <Override PartName="/xl/charts/chart164.xml" ContentType="application/vnd.openxmlformats-officedocument.drawingml.chart+xml"/>
  <Override PartName="/xl/charts/style164.xml" ContentType="application/vnd.ms-office.chartstyle+xml"/>
  <Override PartName="/xl/charts/colors164.xml" ContentType="application/vnd.ms-office.chartcolorstyle+xml"/>
  <Override PartName="/xl/drawings/drawing165.xml" ContentType="application/vnd.openxmlformats-officedocument.drawing+xml"/>
  <Override PartName="/xl/charts/chart165.xml" ContentType="application/vnd.openxmlformats-officedocument.drawingml.chart+xml"/>
  <Override PartName="/xl/charts/style165.xml" ContentType="application/vnd.ms-office.chartstyle+xml"/>
  <Override PartName="/xl/charts/colors165.xml" ContentType="application/vnd.ms-office.chartcolorstyle+xml"/>
  <Override PartName="/xl/drawings/drawing166.xml" ContentType="application/vnd.openxmlformats-officedocument.drawing+xml"/>
  <Override PartName="/xl/charts/chart166.xml" ContentType="application/vnd.openxmlformats-officedocument.drawingml.chart+xml"/>
  <Override PartName="/xl/charts/style166.xml" ContentType="application/vnd.ms-office.chartstyle+xml"/>
  <Override PartName="/xl/charts/colors166.xml" ContentType="application/vnd.ms-office.chartcolorstyle+xml"/>
  <Override PartName="/xl/drawings/drawing167.xml" ContentType="application/vnd.openxmlformats-officedocument.drawing+xml"/>
  <Override PartName="/xl/charts/chart167.xml" ContentType="application/vnd.openxmlformats-officedocument.drawingml.chart+xml"/>
  <Override PartName="/xl/charts/style167.xml" ContentType="application/vnd.ms-office.chartstyle+xml"/>
  <Override PartName="/xl/charts/colors167.xml" ContentType="application/vnd.ms-office.chartcolorstyle+xml"/>
  <Override PartName="/xl/drawings/drawing168.xml" ContentType="application/vnd.openxmlformats-officedocument.drawing+xml"/>
  <Override PartName="/xl/charts/chart168.xml" ContentType="application/vnd.openxmlformats-officedocument.drawingml.chart+xml"/>
  <Override PartName="/xl/charts/style168.xml" ContentType="application/vnd.ms-office.chartstyle+xml"/>
  <Override PartName="/xl/charts/colors168.xml" ContentType="application/vnd.ms-office.chartcolorstyle+xml"/>
  <Override PartName="/xl/drawings/drawing169.xml" ContentType="application/vnd.openxmlformats-officedocument.drawing+xml"/>
  <Override PartName="/xl/charts/chart169.xml" ContentType="application/vnd.openxmlformats-officedocument.drawingml.chart+xml"/>
  <Override PartName="/xl/charts/style169.xml" ContentType="application/vnd.ms-office.chartstyle+xml"/>
  <Override PartName="/xl/charts/colors169.xml" ContentType="application/vnd.ms-office.chartcolorstyle+xml"/>
  <Override PartName="/xl/drawings/drawing170.xml" ContentType="application/vnd.openxmlformats-officedocument.drawing+xml"/>
  <Override PartName="/xl/charts/chart170.xml" ContentType="application/vnd.openxmlformats-officedocument.drawingml.chart+xml"/>
  <Override PartName="/xl/charts/style170.xml" ContentType="application/vnd.ms-office.chartstyle+xml"/>
  <Override PartName="/xl/charts/colors170.xml" ContentType="application/vnd.ms-office.chartcolorstyle+xml"/>
  <Override PartName="/xl/drawings/drawing171.xml" ContentType="application/vnd.openxmlformats-officedocument.drawing+xml"/>
  <Override PartName="/xl/charts/chart171.xml" ContentType="application/vnd.openxmlformats-officedocument.drawingml.chart+xml"/>
  <Override PartName="/xl/charts/style171.xml" ContentType="application/vnd.ms-office.chartstyle+xml"/>
  <Override PartName="/xl/charts/colors171.xml" ContentType="application/vnd.ms-office.chartcolorstyle+xml"/>
  <Override PartName="/xl/drawings/drawing172.xml" ContentType="application/vnd.openxmlformats-officedocument.drawing+xml"/>
  <Override PartName="/xl/charts/chart172.xml" ContentType="application/vnd.openxmlformats-officedocument.drawingml.chart+xml"/>
  <Override PartName="/xl/charts/style172.xml" ContentType="application/vnd.ms-office.chartstyle+xml"/>
  <Override PartName="/xl/charts/colors172.xml" ContentType="application/vnd.ms-office.chartcolorstyle+xml"/>
  <Override PartName="/xl/drawings/drawing173.xml" ContentType="application/vnd.openxmlformats-officedocument.drawing+xml"/>
  <Override PartName="/xl/charts/chart173.xml" ContentType="application/vnd.openxmlformats-officedocument.drawingml.chart+xml"/>
  <Override PartName="/xl/charts/style173.xml" ContentType="application/vnd.ms-office.chartstyle+xml"/>
  <Override PartName="/xl/charts/colors173.xml" ContentType="application/vnd.ms-office.chartcolorstyle+xml"/>
  <Override PartName="/xl/drawings/drawing174.xml" ContentType="application/vnd.openxmlformats-officedocument.drawing+xml"/>
  <Override PartName="/xl/charts/chart174.xml" ContentType="application/vnd.openxmlformats-officedocument.drawingml.chart+xml"/>
  <Override PartName="/xl/charts/style174.xml" ContentType="application/vnd.ms-office.chartstyle+xml"/>
  <Override PartName="/xl/charts/colors174.xml" ContentType="application/vnd.ms-office.chartcolorstyle+xml"/>
  <Override PartName="/xl/drawings/drawing175.xml" ContentType="application/vnd.openxmlformats-officedocument.drawing+xml"/>
  <Override PartName="/xl/charts/chart175.xml" ContentType="application/vnd.openxmlformats-officedocument.drawingml.chart+xml"/>
  <Override PartName="/xl/charts/style175.xml" ContentType="application/vnd.ms-office.chartstyle+xml"/>
  <Override PartName="/xl/charts/colors175.xml" ContentType="application/vnd.ms-office.chartcolorstyle+xml"/>
  <Override PartName="/xl/drawings/drawing176.xml" ContentType="application/vnd.openxmlformats-officedocument.drawing+xml"/>
  <Override PartName="/xl/charts/chart176.xml" ContentType="application/vnd.openxmlformats-officedocument.drawingml.chart+xml"/>
  <Override PartName="/xl/charts/style176.xml" ContentType="application/vnd.ms-office.chartstyle+xml"/>
  <Override PartName="/xl/charts/colors176.xml" ContentType="application/vnd.ms-office.chartcolorstyle+xml"/>
  <Override PartName="/xl/drawings/drawing177.xml" ContentType="application/vnd.openxmlformats-officedocument.drawing+xml"/>
  <Override PartName="/xl/charts/chart177.xml" ContentType="application/vnd.openxmlformats-officedocument.drawingml.chart+xml"/>
  <Override PartName="/xl/charts/style177.xml" ContentType="application/vnd.ms-office.chartstyle+xml"/>
  <Override PartName="/xl/charts/colors177.xml" ContentType="application/vnd.ms-office.chartcolorstyle+xml"/>
  <Override PartName="/xl/drawings/drawing178.xml" ContentType="application/vnd.openxmlformats-officedocument.drawing+xml"/>
  <Override PartName="/xl/charts/chart178.xml" ContentType="application/vnd.openxmlformats-officedocument.drawingml.chart+xml"/>
  <Override PartName="/xl/charts/style178.xml" ContentType="application/vnd.ms-office.chartstyle+xml"/>
  <Override PartName="/xl/charts/colors178.xml" ContentType="application/vnd.ms-office.chartcolorstyle+xml"/>
  <Override PartName="/xl/drawings/drawing179.xml" ContentType="application/vnd.openxmlformats-officedocument.drawing+xml"/>
  <Override PartName="/xl/charts/chart179.xml" ContentType="application/vnd.openxmlformats-officedocument.drawingml.chart+xml"/>
  <Override PartName="/xl/charts/style179.xml" ContentType="application/vnd.ms-office.chartstyle+xml"/>
  <Override PartName="/xl/charts/colors179.xml" ContentType="application/vnd.ms-office.chartcolorstyle+xml"/>
  <Override PartName="/xl/drawings/drawing180.xml" ContentType="application/vnd.openxmlformats-officedocument.drawing+xml"/>
  <Override PartName="/xl/charts/chart180.xml" ContentType="application/vnd.openxmlformats-officedocument.drawingml.chart+xml"/>
  <Override PartName="/xl/charts/style180.xml" ContentType="application/vnd.ms-office.chartstyle+xml"/>
  <Override PartName="/xl/charts/colors180.xml" ContentType="application/vnd.ms-office.chartcolorstyle+xml"/>
  <Override PartName="/xl/drawings/drawing181.xml" ContentType="application/vnd.openxmlformats-officedocument.drawing+xml"/>
  <Override PartName="/xl/charts/chart181.xml" ContentType="application/vnd.openxmlformats-officedocument.drawingml.chart+xml"/>
  <Override PartName="/xl/charts/style181.xml" ContentType="application/vnd.ms-office.chartstyle+xml"/>
  <Override PartName="/xl/charts/colors181.xml" ContentType="application/vnd.ms-office.chartcolorstyle+xml"/>
  <Override PartName="/xl/drawings/drawing182.xml" ContentType="application/vnd.openxmlformats-officedocument.drawing+xml"/>
  <Override PartName="/xl/charts/chart182.xml" ContentType="application/vnd.openxmlformats-officedocument.drawingml.chart+xml"/>
  <Override PartName="/xl/charts/style182.xml" ContentType="application/vnd.ms-office.chartstyle+xml"/>
  <Override PartName="/xl/charts/colors182.xml" ContentType="application/vnd.ms-office.chartcolorstyle+xml"/>
  <Override PartName="/xl/drawings/drawing183.xml" ContentType="application/vnd.openxmlformats-officedocument.drawing+xml"/>
  <Override PartName="/xl/charts/chart183.xml" ContentType="application/vnd.openxmlformats-officedocument.drawingml.chart+xml"/>
  <Override PartName="/xl/charts/style183.xml" ContentType="application/vnd.ms-office.chartstyle+xml"/>
  <Override PartName="/xl/charts/colors183.xml" ContentType="application/vnd.ms-office.chartcolorstyle+xml"/>
  <Override PartName="/xl/drawings/drawing184.xml" ContentType="application/vnd.openxmlformats-officedocument.drawing+xml"/>
  <Override PartName="/xl/charts/chart184.xml" ContentType="application/vnd.openxmlformats-officedocument.drawingml.chart+xml"/>
  <Override PartName="/xl/charts/style184.xml" ContentType="application/vnd.ms-office.chartstyle+xml"/>
  <Override PartName="/xl/charts/colors184.xml" ContentType="application/vnd.ms-office.chartcolorstyle+xml"/>
  <Override PartName="/xl/drawings/drawing185.xml" ContentType="application/vnd.openxmlformats-officedocument.drawing+xml"/>
  <Override PartName="/xl/charts/chart185.xml" ContentType="application/vnd.openxmlformats-officedocument.drawingml.chart+xml"/>
  <Override PartName="/xl/charts/style185.xml" ContentType="application/vnd.ms-office.chartstyle+xml"/>
  <Override PartName="/xl/charts/colors185.xml" ContentType="application/vnd.ms-office.chartcolorstyle+xml"/>
  <Override PartName="/xl/drawings/drawing186.xml" ContentType="application/vnd.openxmlformats-officedocument.drawing+xml"/>
  <Override PartName="/xl/charts/chart186.xml" ContentType="application/vnd.openxmlformats-officedocument.drawingml.chart+xml"/>
  <Override PartName="/xl/charts/style186.xml" ContentType="application/vnd.ms-office.chartstyle+xml"/>
  <Override PartName="/xl/charts/colors186.xml" ContentType="application/vnd.ms-office.chartcolorstyle+xml"/>
  <Override PartName="/xl/drawings/drawing187.xml" ContentType="application/vnd.openxmlformats-officedocument.drawing+xml"/>
  <Override PartName="/xl/charts/chart187.xml" ContentType="application/vnd.openxmlformats-officedocument.drawingml.chart+xml"/>
  <Override PartName="/xl/charts/style187.xml" ContentType="application/vnd.ms-office.chartstyle+xml"/>
  <Override PartName="/xl/charts/colors187.xml" ContentType="application/vnd.ms-office.chartcolorstyle+xml"/>
  <Override PartName="/xl/drawings/drawing188.xml" ContentType="application/vnd.openxmlformats-officedocument.drawing+xml"/>
  <Override PartName="/xl/charts/chart188.xml" ContentType="application/vnd.openxmlformats-officedocument.drawingml.chart+xml"/>
  <Override PartName="/xl/charts/style188.xml" ContentType="application/vnd.ms-office.chartstyle+xml"/>
  <Override PartName="/xl/charts/colors188.xml" ContentType="application/vnd.ms-office.chartcolorstyle+xml"/>
  <Override PartName="/xl/drawings/drawing189.xml" ContentType="application/vnd.openxmlformats-officedocument.drawing+xml"/>
  <Override PartName="/xl/charts/chart189.xml" ContentType="application/vnd.openxmlformats-officedocument.drawingml.chart+xml"/>
  <Override PartName="/xl/charts/style189.xml" ContentType="application/vnd.ms-office.chartstyle+xml"/>
  <Override PartName="/xl/charts/colors189.xml" ContentType="application/vnd.ms-office.chartcolorstyle+xml"/>
  <Override PartName="/xl/drawings/drawing190.xml" ContentType="application/vnd.openxmlformats-officedocument.drawing+xml"/>
  <Override PartName="/xl/charts/chart190.xml" ContentType="application/vnd.openxmlformats-officedocument.drawingml.chart+xml"/>
  <Override PartName="/xl/charts/style190.xml" ContentType="application/vnd.ms-office.chartstyle+xml"/>
  <Override PartName="/xl/charts/colors190.xml" ContentType="application/vnd.ms-office.chartcolorstyle+xml"/>
  <Override PartName="/xl/drawings/drawing191.xml" ContentType="application/vnd.openxmlformats-officedocument.drawing+xml"/>
  <Override PartName="/xl/charts/chart191.xml" ContentType="application/vnd.openxmlformats-officedocument.drawingml.chart+xml"/>
  <Override PartName="/xl/charts/style191.xml" ContentType="application/vnd.ms-office.chartstyle+xml"/>
  <Override PartName="/xl/charts/colors191.xml" ContentType="application/vnd.ms-office.chartcolorstyle+xml"/>
  <Override PartName="/xl/drawings/drawing192.xml" ContentType="application/vnd.openxmlformats-officedocument.drawing+xml"/>
  <Override PartName="/xl/charts/chart192.xml" ContentType="application/vnd.openxmlformats-officedocument.drawingml.chart+xml"/>
  <Override PartName="/xl/charts/style192.xml" ContentType="application/vnd.ms-office.chartstyle+xml"/>
  <Override PartName="/xl/charts/colors192.xml" ContentType="application/vnd.ms-office.chartcolorstyle+xml"/>
  <Override PartName="/xl/drawings/drawing193.xml" ContentType="application/vnd.openxmlformats-officedocument.drawing+xml"/>
  <Override PartName="/xl/charts/chart193.xml" ContentType="application/vnd.openxmlformats-officedocument.drawingml.chart+xml"/>
  <Override PartName="/xl/charts/style193.xml" ContentType="application/vnd.ms-office.chartstyle+xml"/>
  <Override PartName="/xl/charts/colors193.xml" ContentType="application/vnd.ms-office.chartcolorstyle+xml"/>
  <Override PartName="/xl/drawings/drawing194.xml" ContentType="application/vnd.openxmlformats-officedocument.drawing+xml"/>
  <Override PartName="/xl/charts/chart194.xml" ContentType="application/vnd.openxmlformats-officedocument.drawingml.chart+xml"/>
  <Override PartName="/xl/charts/style194.xml" ContentType="application/vnd.ms-office.chartstyle+xml"/>
  <Override PartName="/xl/charts/colors194.xml" ContentType="application/vnd.ms-office.chartcolorstyle+xml"/>
  <Override PartName="/xl/drawings/drawing195.xml" ContentType="application/vnd.openxmlformats-officedocument.drawing+xml"/>
  <Override PartName="/xl/charts/chart195.xml" ContentType="application/vnd.openxmlformats-officedocument.drawingml.chart+xml"/>
  <Override PartName="/xl/charts/style195.xml" ContentType="application/vnd.ms-office.chartstyle+xml"/>
  <Override PartName="/xl/charts/colors195.xml" ContentType="application/vnd.ms-office.chartcolorstyle+xml"/>
  <Override PartName="/xl/drawings/drawing196.xml" ContentType="application/vnd.openxmlformats-officedocument.drawing+xml"/>
  <Override PartName="/xl/charts/chart196.xml" ContentType="application/vnd.openxmlformats-officedocument.drawingml.chart+xml"/>
  <Override PartName="/xl/charts/style196.xml" ContentType="application/vnd.ms-office.chartstyle+xml"/>
  <Override PartName="/xl/charts/colors196.xml" ContentType="application/vnd.ms-office.chartcolorstyle+xml"/>
  <Override PartName="/xl/drawings/drawing197.xml" ContentType="application/vnd.openxmlformats-officedocument.drawing+xml"/>
  <Override PartName="/xl/charts/chart197.xml" ContentType="application/vnd.openxmlformats-officedocument.drawingml.chart+xml"/>
  <Override PartName="/xl/charts/style197.xml" ContentType="application/vnd.ms-office.chartstyle+xml"/>
  <Override PartName="/xl/charts/colors197.xml" ContentType="application/vnd.ms-office.chartcolorstyle+xml"/>
  <Override PartName="/xl/drawings/drawing198.xml" ContentType="application/vnd.openxmlformats-officedocument.drawing+xml"/>
  <Override PartName="/xl/charts/chart198.xml" ContentType="application/vnd.openxmlformats-officedocument.drawingml.chart+xml"/>
  <Override PartName="/xl/charts/style198.xml" ContentType="application/vnd.ms-office.chartstyle+xml"/>
  <Override PartName="/xl/charts/colors198.xml" ContentType="application/vnd.ms-office.chartcolorstyle+xml"/>
  <Override PartName="/xl/drawings/drawing199.xml" ContentType="application/vnd.openxmlformats-officedocument.drawing+xml"/>
  <Override PartName="/xl/charts/chart199.xml" ContentType="application/vnd.openxmlformats-officedocument.drawingml.chart+xml"/>
  <Override PartName="/xl/charts/style199.xml" ContentType="application/vnd.ms-office.chartstyle+xml"/>
  <Override PartName="/xl/charts/colors199.xml" ContentType="application/vnd.ms-office.chartcolorstyle+xml"/>
  <Override PartName="/xl/drawings/drawing200.xml" ContentType="application/vnd.openxmlformats-officedocument.drawing+xml"/>
  <Override PartName="/xl/charts/chart200.xml" ContentType="application/vnd.openxmlformats-officedocument.drawingml.chart+xml"/>
  <Override PartName="/xl/charts/style200.xml" ContentType="application/vnd.ms-office.chartstyle+xml"/>
  <Override PartName="/xl/charts/colors200.xml" ContentType="application/vnd.ms-office.chartcolorstyle+xml"/>
  <Override PartName="/xl/drawings/drawing201.xml" ContentType="application/vnd.openxmlformats-officedocument.drawing+xml"/>
  <Override PartName="/xl/charts/chart201.xml" ContentType="application/vnd.openxmlformats-officedocument.drawingml.chart+xml"/>
  <Override PartName="/xl/charts/style201.xml" ContentType="application/vnd.ms-office.chartstyle+xml"/>
  <Override PartName="/xl/charts/colors201.xml" ContentType="application/vnd.ms-office.chartcolorstyle+xml"/>
  <Override PartName="/xl/drawings/drawing202.xml" ContentType="application/vnd.openxmlformats-officedocument.drawing+xml"/>
  <Override PartName="/xl/charts/chart202.xml" ContentType="application/vnd.openxmlformats-officedocument.drawingml.chart+xml"/>
  <Override PartName="/xl/charts/style202.xml" ContentType="application/vnd.ms-office.chartstyle+xml"/>
  <Override PartName="/xl/charts/colors202.xml" ContentType="application/vnd.ms-office.chartcolorstyle+xml"/>
  <Override PartName="/xl/drawings/drawing203.xml" ContentType="application/vnd.openxmlformats-officedocument.drawing+xml"/>
  <Override PartName="/xl/charts/chart203.xml" ContentType="application/vnd.openxmlformats-officedocument.drawingml.chart+xml"/>
  <Override PartName="/xl/charts/style203.xml" ContentType="application/vnd.ms-office.chartstyle+xml"/>
  <Override PartName="/xl/charts/colors203.xml" ContentType="application/vnd.ms-office.chartcolorstyle+xml"/>
  <Override PartName="/xl/drawings/drawing204.xml" ContentType="application/vnd.openxmlformats-officedocument.drawing+xml"/>
  <Override PartName="/xl/charts/chart204.xml" ContentType="application/vnd.openxmlformats-officedocument.drawingml.chart+xml"/>
  <Override PartName="/xl/charts/style204.xml" ContentType="application/vnd.ms-office.chartstyle+xml"/>
  <Override PartName="/xl/charts/colors204.xml" ContentType="application/vnd.ms-office.chartcolorstyle+xml"/>
  <Override PartName="/xl/drawings/drawing205.xml" ContentType="application/vnd.openxmlformats-officedocument.drawing+xml"/>
  <Override PartName="/xl/charts/chart205.xml" ContentType="application/vnd.openxmlformats-officedocument.drawingml.chart+xml"/>
  <Override PartName="/xl/charts/style205.xml" ContentType="application/vnd.ms-office.chartstyle+xml"/>
  <Override PartName="/xl/charts/colors205.xml" ContentType="application/vnd.ms-office.chartcolorstyle+xml"/>
  <Override PartName="/xl/drawings/drawing206.xml" ContentType="application/vnd.openxmlformats-officedocument.drawing+xml"/>
  <Override PartName="/xl/charts/chart206.xml" ContentType="application/vnd.openxmlformats-officedocument.drawingml.chart+xml"/>
  <Override PartName="/xl/charts/style206.xml" ContentType="application/vnd.ms-office.chartstyle+xml"/>
  <Override PartName="/xl/charts/colors206.xml" ContentType="application/vnd.ms-office.chartcolorstyle+xml"/>
  <Override PartName="/xl/drawings/drawing207.xml" ContentType="application/vnd.openxmlformats-officedocument.drawing+xml"/>
  <Override PartName="/xl/charts/chart207.xml" ContentType="application/vnd.openxmlformats-officedocument.drawingml.chart+xml"/>
  <Override PartName="/xl/charts/style207.xml" ContentType="application/vnd.ms-office.chartstyle+xml"/>
  <Override PartName="/xl/charts/colors207.xml" ContentType="application/vnd.ms-office.chartcolorstyle+xml"/>
  <Override PartName="/xl/drawings/drawing208.xml" ContentType="application/vnd.openxmlformats-officedocument.drawing+xml"/>
  <Override PartName="/xl/charts/chart208.xml" ContentType="application/vnd.openxmlformats-officedocument.drawingml.chart+xml"/>
  <Override PartName="/xl/charts/style208.xml" ContentType="application/vnd.ms-office.chartstyle+xml"/>
  <Override PartName="/xl/charts/colors208.xml" ContentType="application/vnd.ms-office.chartcolorstyle+xml"/>
  <Override PartName="/xl/drawings/drawing209.xml" ContentType="application/vnd.openxmlformats-officedocument.drawing+xml"/>
  <Override PartName="/xl/charts/chart209.xml" ContentType="application/vnd.openxmlformats-officedocument.drawingml.chart+xml"/>
  <Override PartName="/xl/charts/style209.xml" ContentType="application/vnd.ms-office.chartstyle+xml"/>
  <Override PartName="/xl/charts/colors209.xml" ContentType="application/vnd.ms-office.chartcolorstyle+xml"/>
  <Override PartName="/xl/drawings/drawing210.xml" ContentType="application/vnd.openxmlformats-officedocument.drawing+xml"/>
  <Override PartName="/xl/charts/chart210.xml" ContentType="application/vnd.openxmlformats-officedocument.drawingml.chart+xml"/>
  <Override PartName="/xl/charts/style210.xml" ContentType="application/vnd.ms-office.chartstyle+xml"/>
  <Override PartName="/xl/charts/colors210.xml" ContentType="application/vnd.ms-office.chartcolorstyle+xml"/>
  <Override PartName="/xl/drawings/drawing211.xml" ContentType="application/vnd.openxmlformats-officedocument.drawing+xml"/>
  <Override PartName="/xl/charts/chart211.xml" ContentType="application/vnd.openxmlformats-officedocument.drawingml.chart+xml"/>
  <Override PartName="/xl/charts/style211.xml" ContentType="application/vnd.ms-office.chartstyle+xml"/>
  <Override PartName="/xl/charts/colors211.xml" ContentType="application/vnd.ms-office.chartcolorstyle+xml"/>
  <Override PartName="/xl/drawings/drawing212.xml" ContentType="application/vnd.openxmlformats-officedocument.drawing+xml"/>
  <Override PartName="/xl/charts/chart212.xml" ContentType="application/vnd.openxmlformats-officedocument.drawingml.chart+xml"/>
  <Override PartName="/xl/charts/style212.xml" ContentType="application/vnd.ms-office.chartstyle+xml"/>
  <Override PartName="/xl/charts/colors212.xml" ContentType="application/vnd.ms-office.chartcolorstyle+xml"/>
  <Override PartName="/xl/drawings/drawing213.xml" ContentType="application/vnd.openxmlformats-officedocument.drawing+xml"/>
  <Override PartName="/xl/charts/chart213.xml" ContentType="application/vnd.openxmlformats-officedocument.drawingml.chart+xml"/>
  <Override PartName="/xl/charts/style213.xml" ContentType="application/vnd.ms-office.chartstyle+xml"/>
  <Override PartName="/xl/charts/colors213.xml" ContentType="application/vnd.ms-office.chartcolorstyle+xml"/>
  <Override PartName="/xl/drawings/drawing214.xml" ContentType="application/vnd.openxmlformats-officedocument.drawing+xml"/>
  <Override PartName="/xl/charts/chart214.xml" ContentType="application/vnd.openxmlformats-officedocument.drawingml.chart+xml"/>
  <Override PartName="/xl/charts/style214.xml" ContentType="application/vnd.ms-office.chartstyle+xml"/>
  <Override PartName="/xl/charts/colors214.xml" ContentType="application/vnd.ms-office.chartcolorstyle+xml"/>
  <Override PartName="/xl/drawings/drawing215.xml" ContentType="application/vnd.openxmlformats-officedocument.drawing+xml"/>
  <Override PartName="/xl/charts/chart215.xml" ContentType="application/vnd.openxmlformats-officedocument.drawingml.chart+xml"/>
  <Override PartName="/xl/charts/style215.xml" ContentType="application/vnd.ms-office.chartstyle+xml"/>
  <Override PartName="/xl/charts/colors215.xml" ContentType="application/vnd.ms-office.chartcolorstyle+xml"/>
  <Override PartName="/xl/drawings/drawing216.xml" ContentType="application/vnd.openxmlformats-officedocument.drawing+xml"/>
  <Override PartName="/xl/charts/chart216.xml" ContentType="application/vnd.openxmlformats-officedocument.drawingml.chart+xml"/>
  <Override PartName="/xl/charts/style216.xml" ContentType="application/vnd.ms-office.chartstyle+xml"/>
  <Override PartName="/xl/charts/colors216.xml" ContentType="application/vnd.ms-office.chartcolorstyle+xml"/>
  <Override PartName="/xl/drawings/drawing217.xml" ContentType="application/vnd.openxmlformats-officedocument.drawing+xml"/>
  <Override PartName="/xl/charts/chart217.xml" ContentType="application/vnd.openxmlformats-officedocument.drawingml.chart+xml"/>
  <Override PartName="/xl/charts/style217.xml" ContentType="application/vnd.ms-office.chartstyle+xml"/>
  <Override PartName="/xl/charts/colors217.xml" ContentType="application/vnd.ms-office.chartcolorstyle+xml"/>
  <Override PartName="/xl/drawings/drawing218.xml" ContentType="application/vnd.openxmlformats-officedocument.drawing+xml"/>
  <Override PartName="/xl/charts/chart218.xml" ContentType="application/vnd.openxmlformats-officedocument.drawingml.chart+xml"/>
  <Override PartName="/xl/charts/style218.xml" ContentType="application/vnd.ms-office.chartstyle+xml"/>
  <Override PartName="/xl/charts/colors218.xml" ContentType="application/vnd.ms-office.chartcolorstyle+xml"/>
  <Override PartName="/xl/drawings/drawing219.xml" ContentType="application/vnd.openxmlformats-officedocument.drawing+xml"/>
  <Override PartName="/xl/charts/chart219.xml" ContentType="application/vnd.openxmlformats-officedocument.drawingml.chart+xml"/>
  <Override PartName="/xl/charts/style219.xml" ContentType="application/vnd.ms-office.chartstyle+xml"/>
  <Override PartName="/xl/charts/colors219.xml" ContentType="application/vnd.ms-office.chartcolorstyle+xml"/>
  <Override PartName="/xl/drawings/drawing220.xml" ContentType="application/vnd.openxmlformats-officedocument.drawing+xml"/>
  <Override PartName="/xl/charts/chart220.xml" ContentType="application/vnd.openxmlformats-officedocument.drawingml.chart+xml"/>
  <Override PartName="/xl/charts/style220.xml" ContentType="application/vnd.ms-office.chartstyle+xml"/>
  <Override PartName="/xl/charts/colors220.xml" ContentType="application/vnd.ms-office.chartcolorstyle+xml"/>
  <Override PartName="/xl/drawings/drawing221.xml" ContentType="application/vnd.openxmlformats-officedocument.drawing+xml"/>
  <Override PartName="/xl/charts/chart221.xml" ContentType="application/vnd.openxmlformats-officedocument.drawingml.chart+xml"/>
  <Override PartName="/xl/charts/style221.xml" ContentType="application/vnd.ms-office.chartstyle+xml"/>
  <Override PartName="/xl/charts/colors221.xml" ContentType="application/vnd.ms-office.chartcolorstyle+xml"/>
  <Override PartName="/xl/drawings/drawing222.xml" ContentType="application/vnd.openxmlformats-officedocument.drawing+xml"/>
  <Override PartName="/xl/charts/chart222.xml" ContentType="application/vnd.openxmlformats-officedocument.drawingml.chart+xml"/>
  <Override PartName="/xl/charts/style222.xml" ContentType="application/vnd.ms-office.chartstyle+xml"/>
  <Override PartName="/xl/charts/colors222.xml" ContentType="application/vnd.ms-office.chartcolorstyle+xml"/>
  <Override PartName="/xl/drawings/drawing223.xml" ContentType="application/vnd.openxmlformats-officedocument.drawing+xml"/>
  <Override PartName="/xl/charts/chart223.xml" ContentType="application/vnd.openxmlformats-officedocument.drawingml.chart+xml"/>
  <Override PartName="/xl/charts/style223.xml" ContentType="application/vnd.ms-office.chartstyle+xml"/>
  <Override PartName="/xl/charts/colors223.xml" ContentType="application/vnd.ms-office.chartcolorstyle+xml"/>
  <Override PartName="/xl/drawings/drawing224.xml" ContentType="application/vnd.openxmlformats-officedocument.drawing+xml"/>
  <Override PartName="/xl/charts/chart224.xml" ContentType="application/vnd.openxmlformats-officedocument.drawingml.chart+xml"/>
  <Override PartName="/xl/charts/style224.xml" ContentType="application/vnd.ms-office.chartstyle+xml"/>
  <Override PartName="/xl/charts/colors224.xml" ContentType="application/vnd.ms-office.chartcolorstyle+xml"/>
  <Override PartName="/xl/drawings/drawing225.xml" ContentType="application/vnd.openxmlformats-officedocument.drawing+xml"/>
  <Override PartName="/xl/charts/chart225.xml" ContentType="application/vnd.openxmlformats-officedocument.drawingml.chart+xml"/>
  <Override PartName="/xl/charts/style225.xml" ContentType="application/vnd.ms-office.chartstyle+xml"/>
  <Override PartName="/xl/charts/colors225.xml" ContentType="application/vnd.ms-office.chartcolorstyle+xml"/>
  <Override PartName="/xl/drawings/drawing226.xml" ContentType="application/vnd.openxmlformats-officedocument.drawing+xml"/>
  <Override PartName="/xl/charts/chart226.xml" ContentType="application/vnd.openxmlformats-officedocument.drawingml.chart+xml"/>
  <Override PartName="/xl/charts/style226.xml" ContentType="application/vnd.ms-office.chartstyle+xml"/>
  <Override PartName="/xl/charts/colors226.xml" ContentType="application/vnd.ms-office.chartcolorstyle+xml"/>
  <Override PartName="/xl/drawings/drawing227.xml" ContentType="application/vnd.openxmlformats-officedocument.drawing+xml"/>
  <Override PartName="/xl/charts/chart227.xml" ContentType="application/vnd.openxmlformats-officedocument.drawingml.chart+xml"/>
  <Override PartName="/xl/charts/style227.xml" ContentType="application/vnd.ms-office.chartstyle+xml"/>
  <Override PartName="/xl/charts/colors227.xml" ContentType="application/vnd.ms-office.chartcolorstyle+xml"/>
  <Override PartName="/xl/drawings/drawing228.xml" ContentType="application/vnd.openxmlformats-officedocument.drawing+xml"/>
  <Override PartName="/xl/charts/chart228.xml" ContentType="application/vnd.openxmlformats-officedocument.drawingml.chart+xml"/>
  <Override PartName="/xl/charts/style228.xml" ContentType="application/vnd.ms-office.chartstyle+xml"/>
  <Override PartName="/xl/charts/colors228.xml" ContentType="application/vnd.ms-office.chartcolorstyle+xml"/>
  <Override PartName="/xl/drawings/drawing229.xml" ContentType="application/vnd.openxmlformats-officedocument.drawing+xml"/>
  <Override PartName="/xl/charts/chart229.xml" ContentType="application/vnd.openxmlformats-officedocument.drawingml.chart+xml"/>
  <Override PartName="/xl/charts/style229.xml" ContentType="application/vnd.ms-office.chartstyle+xml"/>
  <Override PartName="/xl/charts/colors229.xml" ContentType="application/vnd.ms-office.chartcolorstyle+xml"/>
  <Override PartName="/xl/drawings/drawing230.xml" ContentType="application/vnd.openxmlformats-officedocument.drawing+xml"/>
  <Override PartName="/xl/charts/chart230.xml" ContentType="application/vnd.openxmlformats-officedocument.drawingml.chart+xml"/>
  <Override PartName="/xl/charts/style230.xml" ContentType="application/vnd.ms-office.chartstyle+xml"/>
  <Override PartName="/xl/charts/colors230.xml" ContentType="application/vnd.ms-office.chartcolorstyle+xml"/>
  <Override PartName="/xl/drawings/drawing231.xml" ContentType="application/vnd.openxmlformats-officedocument.drawing+xml"/>
  <Override PartName="/xl/charts/chart231.xml" ContentType="application/vnd.openxmlformats-officedocument.drawingml.chart+xml"/>
  <Override PartName="/xl/charts/style231.xml" ContentType="application/vnd.ms-office.chartstyle+xml"/>
  <Override PartName="/xl/charts/colors231.xml" ContentType="application/vnd.ms-office.chartcolorstyle+xml"/>
  <Override PartName="/xl/drawings/drawing232.xml" ContentType="application/vnd.openxmlformats-officedocument.drawing+xml"/>
  <Override PartName="/xl/charts/chart232.xml" ContentType="application/vnd.openxmlformats-officedocument.drawingml.chart+xml"/>
  <Override PartName="/xl/charts/style232.xml" ContentType="application/vnd.ms-office.chartstyle+xml"/>
  <Override PartName="/xl/charts/colors232.xml" ContentType="application/vnd.ms-office.chartcolorstyle+xml"/>
  <Override PartName="/xl/drawings/drawing233.xml" ContentType="application/vnd.openxmlformats-officedocument.drawing+xml"/>
  <Override PartName="/xl/charts/chart233.xml" ContentType="application/vnd.openxmlformats-officedocument.drawingml.chart+xml"/>
  <Override PartName="/xl/charts/style233.xml" ContentType="application/vnd.ms-office.chartstyle+xml"/>
  <Override PartName="/xl/charts/colors233.xml" ContentType="application/vnd.ms-office.chartcolorstyle+xml"/>
  <Override PartName="/xl/drawings/drawing234.xml" ContentType="application/vnd.openxmlformats-officedocument.drawing+xml"/>
  <Override PartName="/xl/charts/chart234.xml" ContentType="application/vnd.openxmlformats-officedocument.drawingml.chart+xml"/>
  <Override PartName="/xl/charts/style234.xml" ContentType="application/vnd.ms-office.chartstyle+xml"/>
  <Override PartName="/xl/charts/colors234.xml" ContentType="application/vnd.ms-office.chartcolorstyle+xml"/>
  <Override PartName="/xl/drawings/drawing235.xml" ContentType="application/vnd.openxmlformats-officedocument.drawing+xml"/>
  <Override PartName="/xl/charts/chart235.xml" ContentType="application/vnd.openxmlformats-officedocument.drawingml.chart+xml"/>
  <Override PartName="/xl/charts/style235.xml" ContentType="application/vnd.ms-office.chartstyle+xml"/>
  <Override PartName="/xl/charts/colors235.xml" ContentType="application/vnd.ms-office.chartcolorstyle+xml"/>
  <Override PartName="/xl/drawings/drawing236.xml" ContentType="application/vnd.openxmlformats-officedocument.drawing+xml"/>
  <Override PartName="/xl/charts/chart236.xml" ContentType="application/vnd.openxmlformats-officedocument.drawingml.chart+xml"/>
  <Override PartName="/xl/charts/style236.xml" ContentType="application/vnd.ms-office.chartstyle+xml"/>
  <Override PartName="/xl/charts/colors236.xml" ContentType="application/vnd.ms-office.chartcolorstyle+xml"/>
  <Override PartName="/xl/drawings/drawing237.xml" ContentType="application/vnd.openxmlformats-officedocument.drawing+xml"/>
  <Override PartName="/xl/charts/chart237.xml" ContentType="application/vnd.openxmlformats-officedocument.drawingml.chart+xml"/>
  <Override PartName="/xl/charts/style237.xml" ContentType="application/vnd.ms-office.chartstyle+xml"/>
  <Override PartName="/xl/charts/colors237.xml" ContentType="application/vnd.ms-office.chartcolorstyle+xml"/>
  <Override PartName="/xl/drawings/drawing238.xml" ContentType="application/vnd.openxmlformats-officedocument.drawing+xml"/>
  <Override PartName="/xl/charts/chart238.xml" ContentType="application/vnd.openxmlformats-officedocument.drawingml.chart+xml"/>
  <Override PartName="/xl/charts/style238.xml" ContentType="application/vnd.ms-office.chartstyle+xml"/>
  <Override PartName="/xl/charts/colors238.xml" ContentType="application/vnd.ms-office.chartcolorstyle+xml"/>
  <Override PartName="/xl/drawings/drawing239.xml" ContentType="application/vnd.openxmlformats-officedocument.drawing+xml"/>
  <Override PartName="/xl/charts/chart239.xml" ContentType="application/vnd.openxmlformats-officedocument.drawingml.chart+xml"/>
  <Override PartName="/xl/charts/style239.xml" ContentType="application/vnd.ms-office.chartstyle+xml"/>
  <Override PartName="/xl/charts/colors239.xml" ContentType="application/vnd.ms-office.chartcolorstyle+xml"/>
  <Override PartName="/xl/drawings/drawing240.xml" ContentType="application/vnd.openxmlformats-officedocument.drawing+xml"/>
  <Override PartName="/xl/charts/chart240.xml" ContentType="application/vnd.openxmlformats-officedocument.drawingml.chart+xml"/>
  <Override PartName="/xl/charts/style240.xml" ContentType="application/vnd.ms-office.chartstyle+xml"/>
  <Override PartName="/xl/charts/colors240.xml" ContentType="application/vnd.ms-office.chartcolorstyle+xml"/>
  <Override PartName="/xl/drawings/drawing241.xml" ContentType="application/vnd.openxmlformats-officedocument.drawing+xml"/>
  <Override PartName="/xl/charts/chart241.xml" ContentType="application/vnd.openxmlformats-officedocument.drawingml.chart+xml"/>
  <Override PartName="/xl/charts/style241.xml" ContentType="application/vnd.ms-office.chartstyle+xml"/>
  <Override PartName="/xl/charts/colors241.xml" ContentType="application/vnd.ms-office.chartcolorstyle+xml"/>
  <Override PartName="/xl/drawings/drawing242.xml" ContentType="application/vnd.openxmlformats-officedocument.drawing+xml"/>
  <Override PartName="/xl/charts/chart242.xml" ContentType="application/vnd.openxmlformats-officedocument.drawingml.chart+xml"/>
  <Override PartName="/xl/charts/style242.xml" ContentType="application/vnd.ms-office.chartstyle+xml"/>
  <Override PartName="/xl/charts/colors242.xml" ContentType="application/vnd.ms-office.chartcolorstyle+xml"/>
  <Override PartName="/xl/drawings/drawing243.xml" ContentType="application/vnd.openxmlformats-officedocument.drawing+xml"/>
  <Override PartName="/xl/charts/chart243.xml" ContentType="application/vnd.openxmlformats-officedocument.drawingml.chart+xml"/>
  <Override PartName="/xl/charts/style243.xml" ContentType="application/vnd.ms-office.chartstyle+xml"/>
  <Override PartName="/xl/charts/colors243.xml" ContentType="application/vnd.ms-office.chartcolorstyle+xml"/>
  <Override PartName="/xl/drawings/drawing244.xml" ContentType="application/vnd.openxmlformats-officedocument.drawing+xml"/>
  <Override PartName="/xl/charts/chart244.xml" ContentType="application/vnd.openxmlformats-officedocument.drawingml.chart+xml"/>
  <Override PartName="/xl/charts/style244.xml" ContentType="application/vnd.ms-office.chartstyle+xml"/>
  <Override PartName="/xl/charts/colors244.xml" ContentType="application/vnd.ms-office.chartcolorstyle+xml"/>
  <Override PartName="/xl/drawings/drawing245.xml" ContentType="application/vnd.openxmlformats-officedocument.drawing+xml"/>
  <Override PartName="/xl/charts/chart245.xml" ContentType="application/vnd.openxmlformats-officedocument.drawingml.chart+xml"/>
  <Override PartName="/xl/charts/style245.xml" ContentType="application/vnd.ms-office.chartstyle+xml"/>
  <Override PartName="/xl/charts/colors245.xml" ContentType="application/vnd.ms-office.chartcolorstyle+xml"/>
  <Override PartName="/xl/drawings/drawing246.xml" ContentType="application/vnd.openxmlformats-officedocument.drawing+xml"/>
  <Override PartName="/xl/charts/chart246.xml" ContentType="application/vnd.openxmlformats-officedocument.drawingml.chart+xml"/>
  <Override PartName="/xl/charts/style246.xml" ContentType="application/vnd.ms-office.chartstyle+xml"/>
  <Override PartName="/xl/charts/colors246.xml" ContentType="application/vnd.ms-office.chartcolorstyle+xml"/>
  <Override PartName="/xl/drawings/drawing247.xml" ContentType="application/vnd.openxmlformats-officedocument.drawing+xml"/>
  <Override PartName="/xl/charts/chart247.xml" ContentType="application/vnd.openxmlformats-officedocument.drawingml.chart+xml"/>
  <Override PartName="/xl/charts/style247.xml" ContentType="application/vnd.ms-office.chartstyle+xml"/>
  <Override PartName="/xl/charts/colors247.xml" ContentType="application/vnd.ms-office.chartcolorstyle+xml"/>
  <Override PartName="/xl/drawings/drawing248.xml" ContentType="application/vnd.openxmlformats-officedocument.drawing+xml"/>
  <Override PartName="/xl/charts/chart248.xml" ContentType="application/vnd.openxmlformats-officedocument.drawingml.chart+xml"/>
  <Override PartName="/xl/charts/style248.xml" ContentType="application/vnd.ms-office.chartstyle+xml"/>
  <Override PartName="/xl/charts/colors248.xml" ContentType="application/vnd.ms-office.chartcolorstyle+xml"/>
  <Override PartName="/xl/drawings/drawing249.xml" ContentType="application/vnd.openxmlformats-officedocument.drawing+xml"/>
  <Override PartName="/xl/charts/chart249.xml" ContentType="application/vnd.openxmlformats-officedocument.drawingml.chart+xml"/>
  <Override PartName="/xl/charts/style249.xml" ContentType="application/vnd.ms-office.chartstyle+xml"/>
  <Override PartName="/xl/charts/colors249.xml" ContentType="application/vnd.ms-office.chartcolorstyle+xml"/>
  <Override PartName="/xl/drawings/drawing250.xml" ContentType="application/vnd.openxmlformats-officedocument.drawing+xml"/>
  <Override PartName="/xl/charts/chart250.xml" ContentType="application/vnd.openxmlformats-officedocument.drawingml.chart+xml"/>
  <Override PartName="/xl/charts/style250.xml" ContentType="application/vnd.ms-office.chartstyle+xml"/>
  <Override PartName="/xl/charts/colors250.xml" ContentType="application/vnd.ms-office.chartcolorstyle+xml"/>
  <Override PartName="/xl/drawings/drawing251.xml" ContentType="application/vnd.openxmlformats-officedocument.drawing+xml"/>
  <Override PartName="/xl/charts/chart251.xml" ContentType="application/vnd.openxmlformats-officedocument.drawingml.chart+xml"/>
  <Override PartName="/xl/charts/style251.xml" ContentType="application/vnd.ms-office.chartstyle+xml"/>
  <Override PartName="/xl/charts/colors251.xml" ContentType="application/vnd.ms-office.chartcolorstyle+xml"/>
  <Override PartName="/xl/drawings/drawing252.xml" ContentType="application/vnd.openxmlformats-officedocument.drawing+xml"/>
  <Override PartName="/xl/charts/chart252.xml" ContentType="application/vnd.openxmlformats-officedocument.drawingml.chart+xml"/>
  <Override PartName="/xl/charts/style252.xml" ContentType="application/vnd.ms-office.chartstyle+xml"/>
  <Override PartName="/xl/charts/colors252.xml" ContentType="application/vnd.ms-office.chartcolorstyle+xml"/>
  <Override PartName="/xl/drawings/drawing253.xml" ContentType="application/vnd.openxmlformats-officedocument.drawing+xml"/>
  <Override PartName="/xl/charts/chart253.xml" ContentType="application/vnd.openxmlformats-officedocument.drawingml.chart+xml"/>
  <Override PartName="/xl/charts/style253.xml" ContentType="application/vnd.ms-office.chartstyle+xml"/>
  <Override PartName="/xl/charts/colors253.xml" ContentType="application/vnd.ms-office.chartcolorstyle+xml"/>
  <Override PartName="/xl/drawings/drawing254.xml" ContentType="application/vnd.openxmlformats-officedocument.drawing+xml"/>
  <Override PartName="/xl/charts/chart254.xml" ContentType="application/vnd.openxmlformats-officedocument.drawingml.chart+xml"/>
  <Override PartName="/xl/charts/style254.xml" ContentType="application/vnd.ms-office.chartstyle+xml"/>
  <Override PartName="/xl/charts/colors254.xml" ContentType="application/vnd.ms-office.chartcolorstyle+xml"/>
  <Override PartName="/xl/drawings/drawing255.xml" ContentType="application/vnd.openxmlformats-officedocument.drawing+xml"/>
  <Override PartName="/xl/charts/chart255.xml" ContentType="application/vnd.openxmlformats-officedocument.drawingml.chart+xml"/>
  <Override PartName="/xl/charts/style255.xml" ContentType="application/vnd.ms-office.chartstyle+xml"/>
  <Override PartName="/xl/charts/colors255.xml" ContentType="application/vnd.ms-office.chartcolorstyle+xml"/>
  <Override PartName="/xl/drawings/drawing256.xml" ContentType="application/vnd.openxmlformats-officedocument.drawing+xml"/>
  <Override PartName="/xl/charts/chart256.xml" ContentType="application/vnd.openxmlformats-officedocument.drawingml.chart+xml"/>
  <Override PartName="/xl/charts/style256.xml" ContentType="application/vnd.ms-office.chartstyle+xml"/>
  <Override PartName="/xl/charts/colors256.xml" ContentType="application/vnd.ms-office.chartcolorstyle+xml"/>
  <Override PartName="/xl/drawings/drawing257.xml" ContentType="application/vnd.openxmlformats-officedocument.drawing+xml"/>
  <Override PartName="/xl/charts/chart257.xml" ContentType="application/vnd.openxmlformats-officedocument.drawingml.chart+xml"/>
  <Override PartName="/xl/charts/style257.xml" ContentType="application/vnd.ms-office.chartstyle+xml"/>
  <Override PartName="/xl/charts/colors257.xml" ContentType="application/vnd.ms-office.chartcolorstyle+xml"/>
  <Override PartName="/xl/drawings/drawing258.xml" ContentType="application/vnd.openxmlformats-officedocument.drawing+xml"/>
  <Override PartName="/xl/charts/chart258.xml" ContentType="application/vnd.openxmlformats-officedocument.drawingml.chart+xml"/>
  <Override PartName="/xl/charts/style258.xml" ContentType="application/vnd.ms-office.chartstyle+xml"/>
  <Override PartName="/xl/charts/colors258.xml" ContentType="application/vnd.ms-office.chartcolorstyle+xml"/>
  <Override PartName="/xl/drawings/drawing259.xml" ContentType="application/vnd.openxmlformats-officedocument.drawing+xml"/>
  <Override PartName="/xl/charts/chart259.xml" ContentType="application/vnd.openxmlformats-officedocument.drawingml.chart+xml"/>
  <Override PartName="/xl/charts/style259.xml" ContentType="application/vnd.ms-office.chartstyle+xml"/>
  <Override PartName="/xl/charts/colors259.xml" ContentType="application/vnd.ms-office.chartcolorstyle+xml"/>
  <Override PartName="/xl/drawings/drawing260.xml" ContentType="application/vnd.openxmlformats-officedocument.drawing+xml"/>
  <Override PartName="/xl/charts/chart260.xml" ContentType="application/vnd.openxmlformats-officedocument.drawingml.chart+xml"/>
  <Override PartName="/xl/charts/style260.xml" ContentType="application/vnd.ms-office.chartstyle+xml"/>
  <Override PartName="/xl/charts/colors260.xml" ContentType="application/vnd.ms-office.chartcolorstyle+xml"/>
  <Override PartName="/xl/drawings/drawing261.xml" ContentType="application/vnd.openxmlformats-officedocument.drawing+xml"/>
  <Override PartName="/xl/charts/chart261.xml" ContentType="application/vnd.openxmlformats-officedocument.drawingml.chart+xml"/>
  <Override PartName="/xl/charts/style261.xml" ContentType="application/vnd.ms-office.chartstyle+xml"/>
  <Override PartName="/xl/charts/colors261.xml" ContentType="application/vnd.ms-office.chartcolorstyle+xml"/>
  <Override PartName="/xl/drawings/drawing262.xml" ContentType="application/vnd.openxmlformats-officedocument.drawing+xml"/>
  <Override PartName="/xl/charts/chart262.xml" ContentType="application/vnd.openxmlformats-officedocument.drawingml.chart+xml"/>
  <Override PartName="/xl/charts/style262.xml" ContentType="application/vnd.ms-office.chartstyle+xml"/>
  <Override PartName="/xl/charts/colors262.xml" ContentType="application/vnd.ms-office.chartcolorstyle+xml"/>
  <Override PartName="/xl/drawings/drawing263.xml" ContentType="application/vnd.openxmlformats-officedocument.drawing+xml"/>
  <Override PartName="/xl/charts/chart263.xml" ContentType="application/vnd.openxmlformats-officedocument.drawingml.chart+xml"/>
  <Override PartName="/xl/charts/style263.xml" ContentType="application/vnd.ms-office.chartstyle+xml"/>
  <Override PartName="/xl/charts/colors263.xml" ContentType="application/vnd.ms-office.chartcolorstyle+xml"/>
  <Override PartName="/xl/drawings/drawing264.xml" ContentType="application/vnd.openxmlformats-officedocument.drawing+xml"/>
  <Override PartName="/xl/charts/chart264.xml" ContentType="application/vnd.openxmlformats-officedocument.drawingml.chart+xml"/>
  <Override PartName="/xl/charts/style264.xml" ContentType="application/vnd.ms-office.chartstyle+xml"/>
  <Override PartName="/xl/charts/colors264.xml" ContentType="application/vnd.ms-office.chartcolorstyle+xml"/>
  <Override PartName="/xl/drawings/drawing265.xml" ContentType="application/vnd.openxmlformats-officedocument.drawing+xml"/>
  <Override PartName="/xl/charts/chart265.xml" ContentType="application/vnd.openxmlformats-officedocument.drawingml.chart+xml"/>
  <Override PartName="/xl/charts/style265.xml" ContentType="application/vnd.ms-office.chartstyle+xml"/>
  <Override PartName="/xl/charts/colors265.xml" ContentType="application/vnd.ms-office.chartcolorstyle+xml"/>
  <Override PartName="/xl/drawings/drawing266.xml" ContentType="application/vnd.openxmlformats-officedocument.drawing+xml"/>
  <Override PartName="/xl/charts/chart266.xml" ContentType="application/vnd.openxmlformats-officedocument.drawingml.chart+xml"/>
  <Override PartName="/xl/charts/style266.xml" ContentType="application/vnd.ms-office.chartstyle+xml"/>
  <Override PartName="/xl/charts/colors266.xml" ContentType="application/vnd.ms-office.chartcolorstyle+xml"/>
  <Override PartName="/xl/drawings/drawing267.xml" ContentType="application/vnd.openxmlformats-officedocument.drawing+xml"/>
  <Override PartName="/xl/charts/chart267.xml" ContentType="application/vnd.openxmlformats-officedocument.drawingml.chart+xml"/>
  <Override PartName="/xl/charts/style267.xml" ContentType="application/vnd.ms-office.chartstyle+xml"/>
  <Override PartName="/xl/charts/colors267.xml" ContentType="application/vnd.ms-office.chartcolorstyle+xml"/>
  <Override PartName="/xl/drawings/drawing268.xml" ContentType="application/vnd.openxmlformats-officedocument.drawing+xml"/>
  <Override PartName="/xl/charts/chart268.xml" ContentType="application/vnd.openxmlformats-officedocument.drawingml.chart+xml"/>
  <Override PartName="/xl/charts/style268.xml" ContentType="application/vnd.ms-office.chartstyle+xml"/>
  <Override PartName="/xl/charts/colors268.xml" ContentType="application/vnd.ms-office.chartcolorstyle+xml"/>
  <Override PartName="/xl/drawings/drawing269.xml" ContentType="application/vnd.openxmlformats-officedocument.drawing+xml"/>
  <Override PartName="/xl/charts/chart269.xml" ContentType="application/vnd.openxmlformats-officedocument.drawingml.chart+xml"/>
  <Override PartName="/xl/charts/style269.xml" ContentType="application/vnd.ms-office.chartstyle+xml"/>
  <Override PartName="/xl/charts/colors269.xml" ContentType="application/vnd.ms-office.chartcolorstyle+xml"/>
  <Override PartName="/xl/drawings/drawing270.xml" ContentType="application/vnd.openxmlformats-officedocument.drawing+xml"/>
  <Override PartName="/xl/charts/chart270.xml" ContentType="application/vnd.openxmlformats-officedocument.drawingml.chart+xml"/>
  <Override PartName="/xl/charts/style270.xml" ContentType="application/vnd.ms-office.chartstyle+xml"/>
  <Override PartName="/xl/charts/colors270.xml" ContentType="application/vnd.ms-office.chartcolorstyle+xml"/>
  <Override PartName="/xl/drawings/drawing271.xml" ContentType="application/vnd.openxmlformats-officedocument.drawing+xml"/>
  <Override PartName="/xl/charts/chart271.xml" ContentType="application/vnd.openxmlformats-officedocument.drawingml.chart+xml"/>
  <Override PartName="/xl/charts/style271.xml" ContentType="application/vnd.ms-office.chartstyle+xml"/>
  <Override PartName="/xl/charts/colors271.xml" ContentType="application/vnd.ms-office.chartcolorstyle+xml"/>
  <Override PartName="/xl/drawings/drawing272.xml" ContentType="application/vnd.openxmlformats-officedocument.drawing+xml"/>
  <Override PartName="/xl/charts/chart272.xml" ContentType="application/vnd.openxmlformats-officedocument.drawingml.chart+xml"/>
  <Override PartName="/xl/charts/style272.xml" ContentType="application/vnd.ms-office.chartstyle+xml"/>
  <Override PartName="/xl/charts/colors272.xml" ContentType="application/vnd.ms-office.chartcolorstyle+xml"/>
  <Override PartName="/xl/drawings/drawing273.xml" ContentType="application/vnd.openxmlformats-officedocument.drawing+xml"/>
  <Override PartName="/xl/charts/chart273.xml" ContentType="application/vnd.openxmlformats-officedocument.drawingml.chart+xml"/>
  <Override PartName="/xl/charts/style273.xml" ContentType="application/vnd.ms-office.chartstyle+xml"/>
  <Override PartName="/xl/charts/colors273.xml" ContentType="application/vnd.ms-office.chartcolorstyle+xml"/>
  <Override PartName="/xl/drawings/drawing274.xml" ContentType="application/vnd.openxmlformats-officedocument.drawing+xml"/>
  <Override PartName="/xl/charts/chart274.xml" ContentType="application/vnd.openxmlformats-officedocument.drawingml.chart+xml"/>
  <Override PartName="/xl/charts/style274.xml" ContentType="application/vnd.ms-office.chartstyle+xml"/>
  <Override PartName="/xl/charts/colors274.xml" ContentType="application/vnd.ms-office.chartcolorstyle+xml"/>
  <Override PartName="/xl/drawings/drawing275.xml" ContentType="application/vnd.openxmlformats-officedocument.drawing+xml"/>
  <Override PartName="/xl/charts/chart275.xml" ContentType="application/vnd.openxmlformats-officedocument.drawingml.chart+xml"/>
  <Override PartName="/xl/charts/style275.xml" ContentType="application/vnd.ms-office.chartstyle+xml"/>
  <Override PartName="/xl/charts/colors275.xml" ContentType="application/vnd.ms-office.chartcolorstyle+xml"/>
  <Override PartName="/xl/drawings/drawing276.xml" ContentType="application/vnd.openxmlformats-officedocument.drawing+xml"/>
  <Override PartName="/xl/charts/chart276.xml" ContentType="application/vnd.openxmlformats-officedocument.drawingml.chart+xml"/>
  <Override PartName="/xl/charts/style276.xml" ContentType="application/vnd.ms-office.chartstyle+xml"/>
  <Override PartName="/xl/charts/colors276.xml" ContentType="application/vnd.ms-office.chartcolorstyle+xml"/>
  <Override PartName="/xl/drawings/drawing277.xml" ContentType="application/vnd.openxmlformats-officedocument.drawing+xml"/>
  <Override PartName="/xl/charts/chart277.xml" ContentType="application/vnd.openxmlformats-officedocument.drawingml.chart+xml"/>
  <Override PartName="/xl/charts/style277.xml" ContentType="application/vnd.ms-office.chartstyle+xml"/>
  <Override PartName="/xl/charts/colors277.xml" ContentType="application/vnd.ms-office.chartcolorstyle+xml"/>
  <Override PartName="/xl/drawings/drawing278.xml" ContentType="application/vnd.openxmlformats-officedocument.drawing+xml"/>
  <Override PartName="/xl/charts/chart278.xml" ContentType="application/vnd.openxmlformats-officedocument.drawingml.chart+xml"/>
  <Override PartName="/xl/charts/style278.xml" ContentType="application/vnd.ms-office.chartstyle+xml"/>
  <Override PartName="/xl/charts/colors278.xml" ContentType="application/vnd.ms-office.chartcolorstyle+xml"/>
  <Override PartName="/xl/drawings/drawing279.xml" ContentType="application/vnd.openxmlformats-officedocument.drawing+xml"/>
  <Override PartName="/xl/charts/chart279.xml" ContentType="application/vnd.openxmlformats-officedocument.drawingml.chart+xml"/>
  <Override PartName="/xl/charts/style279.xml" ContentType="application/vnd.ms-office.chartstyle+xml"/>
  <Override PartName="/xl/charts/colors279.xml" ContentType="application/vnd.ms-office.chartcolorstyle+xml"/>
  <Override PartName="/xl/drawings/drawing280.xml" ContentType="application/vnd.openxmlformats-officedocument.drawing+xml"/>
  <Override PartName="/xl/charts/chart280.xml" ContentType="application/vnd.openxmlformats-officedocument.drawingml.chart+xml"/>
  <Override PartName="/xl/charts/style280.xml" ContentType="application/vnd.ms-office.chartstyle+xml"/>
  <Override PartName="/xl/charts/colors280.xml" ContentType="application/vnd.ms-office.chartcolorstyle+xml"/>
  <Override PartName="/xl/drawings/drawing281.xml" ContentType="application/vnd.openxmlformats-officedocument.drawing+xml"/>
  <Override PartName="/xl/charts/chart281.xml" ContentType="application/vnd.openxmlformats-officedocument.drawingml.chart+xml"/>
  <Override PartName="/xl/charts/style281.xml" ContentType="application/vnd.ms-office.chartstyle+xml"/>
  <Override PartName="/xl/charts/colors281.xml" ContentType="application/vnd.ms-office.chartcolorstyle+xml"/>
  <Override PartName="/xl/drawings/drawing282.xml" ContentType="application/vnd.openxmlformats-officedocument.drawing+xml"/>
  <Override PartName="/xl/charts/chart282.xml" ContentType="application/vnd.openxmlformats-officedocument.drawingml.chart+xml"/>
  <Override PartName="/xl/charts/style282.xml" ContentType="application/vnd.ms-office.chartstyle+xml"/>
  <Override PartName="/xl/charts/colors282.xml" ContentType="application/vnd.ms-office.chartcolorstyle+xml"/>
  <Override PartName="/xl/drawings/drawing283.xml" ContentType="application/vnd.openxmlformats-officedocument.drawing+xml"/>
  <Override PartName="/xl/charts/chart283.xml" ContentType="application/vnd.openxmlformats-officedocument.drawingml.chart+xml"/>
  <Override PartName="/xl/charts/style283.xml" ContentType="application/vnd.ms-office.chartstyle+xml"/>
  <Override PartName="/xl/charts/colors283.xml" ContentType="application/vnd.ms-office.chartcolorstyle+xml"/>
  <Override PartName="/xl/drawings/drawing284.xml" ContentType="application/vnd.openxmlformats-officedocument.drawing+xml"/>
  <Override PartName="/xl/charts/chart284.xml" ContentType="application/vnd.openxmlformats-officedocument.drawingml.chart+xml"/>
  <Override PartName="/xl/charts/style284.xml" ContentType="application/vnd.ms-office.chartstyle+xml"/>
  <Override PartName="/xl/charts/colors284.xml" ContentType="application/vnd.ms-office.chartcolorstyle+xml"/>
  <Override PartName="/xl/drawings/drawing285.xml" ContentType="application/vnd.openxmlformats-officedocument.drawing+xml"/>
  <Override PartName="/xl/charts/chart285.xml" ContentType="application/vnd.openxmlformats-officedocument.drawingml.chart+xml"/>
  <Override PartName="/xl/charts/style285.xml" ContentType="application/vnd.ms-office.chartstyle+xml"/>
  <Override PartName="/xl/charts/colors285.xml" ContentType="application/vnd.ms-office.chartcolorstyle+xml"/>
  <Override PartName="/xl/drawings/drawing286.xml" ContentType="application/vnd.openxmlformats-officedocument.drawing+xml"/>
  <Override PartName="/xl/charts/chart286.xml" ContentType="application/vnd.openxmlformats-officedocument.drawingml.chart+xml"/>
  <Override PartName="/xl/charts/style286.xml" ContentType="application/vnd.ms-office.chartstyle+xml"/>
  <Override PartName="/xl/charts/colors286.xml" ContentType="application/vnd.ms-office.chartcolorstyle+xml"/>
  <Override PartName="/xl/drawings/drawing287.xml" ContentType="application/vnd.openxmlformats-officedocument.drawing+xml"/>
  <Override PartName="/xl/charts/chart287.xml" ContentType="application/vnd.openxmlformats-officedocument.drawingml.chart+xml"/>
  <Override PartName="/xl/charts/style287.xml" ContentType="application/vnd.ms-office.chartstyle+xml"/>
  <Override PartName="/xl/charts/colors287.xml" ContentType="application/vnd.ms-office.chartcolorstyle+xml"/>
  <Override PartName="/xl/drawings/drawing288.xml" ContentType="application/vnd.openxmlformats-officedocument.drawing+xml"/>
  <Override PartName="/xl/charts/chart288.xml" ContentType="application/vnd.openxmlformats-officedocument.drawingml.chart+xml"/>
  <Override PartName="/xl/charts/style288.xml" ContentType="application/vnd.ms-office.chartstyle+xml"/>
  <Override PartName="/xl/charts/colors288.xml" ContentType="application/vnd.ms-office.chartcolorstyle+xml"/>
  <Override PartName="/xl/drawings/drawing289.xml" ContentType="application/vnd.openxmlformats-officedocument.drawing+xml"/>
  <Override PartName="/xl/charts/chart289.xml" ContentType="application/vnd.openxmlformats-officedocument.drawingml.chart+xml"/>
  <Override PartName="/xl/charts/style289.xml" ContentType="application/vnd.ms-office.chartstyle+xml"/>
  <Override PartName="/xl/charts/colors289.xml" ContentType="application/vnd.ms-office.chartcolorstyle+xml"/>
  <Override PartName="/xl/drawings/drawing290.xml" ContentType="application/vnd.openxmlformats-officedocument.drawing+xml"/>
  <Override PartName="/xl/charts/chart290.xml" ContentType="application/vnd.openxmlformats-officedocument.drawingml.chart+xml"/>
  <Override PartName="/xl/charts/style290.xml" ContentType="application/vnd.ms-office.chartstyle+xml"/>
  <Override PartName="/xl/charts/colors290.xml" ContentType="application/vnd.ms-office.chartcolorstyle+xml"/>
  <Override PartName="/xl/drawings/drawing291.xml" ContentType="application/vnd.openxmlformats-officedocument.drawing+xml"/>
  <Override PartName="/xl/charts/chart291.xml" ContentType="application/vnd.openxmlformats-officedocument.drawingml.chart+xml"/>
  <Override PartName="/xl/charts/style291.xml" ContentType="application/vnd.ms-office.chartstyle+xml"/>
  <Override PartName="/xl/charts/colors29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427"/>
  <workbookPr/>
  <mc:AlternateContent xmlns:mc="http://schemas.openxmlformats.org/markup-compatibility/2006">
    <mc:Choice Requires="x15">
      <x15ac:absPath xmlns:x15ac="http://schemas.microsoft.com/office/spreadsheetml/2010/11/ac" url="https://seccentral-my.sharepoint.com/personal/admin_secretariatcentral_com/Documents/SC Associations/CCCS/Website/COVID-19/"/>
    </mc:Choice>
  </mc:AlternateContent>
  <xr:revisionPtr revIDLastSave="342" documentId="11_249A337E8FAE179E7A595B70232B8DCDD06CEFD7" xr6:coauthVersionLast="47" xr6:coauthVersionMax="47" xr10:uidLastSave="{73389F72-B615-41EC-870C-798D7B940625}"/>
  <bookViews>
    <workbookView xWindow="-108" yWindow="-108" windowWidth="23256" windowHeight="12456" xr2:uid="{00000000-000D-0000-FFFF-FFFF00000000}"/>
  </bookViews>
  <sheets>
    <sheet name="August 19, 2022" sheetId="295" r:id="rId1"/>
    <sheet name="August 12, 2022" sheetId="294" r:id="rId2"/>
    <sheet name="August 5, 2022" sheetId="293" r:id="rId3"/>
    <sheet name="July 29, 2022" sheetId="291" r:id="rId4"/>
    <sheet name="July 22, 2022" sheetId="292" r:id="rId5"/>
    <sheet name="July 15, 2022" sheetId="290" r:id="rId6"/>
    <sheet name="July 8, 2022" sheetId="289" r:id="rId7"/>
    <sheet name="June 30, 2022" sheetId="288" r:id="rId8"/>
    <sheet name="June 24, 2022" sheetId="287" r:id="rId9"/>
    <sheet name="June 17, 2022" sheetId="286" r:id="rId10"/>
    <sheet name="June 9, 2022" sheetId="285" r:id="rId11"/>
    <sheet name="June 2, 2022" sheetId="284" r:id="rId12"/>
    <sheet name="May 27, 2022" sheetId="283" r:id="rId13"/>
    <sheet name="May 20, 2022" sheetId="282" r:id="rId14"/>
    <sheet name="May 13, 2022" sheetId="281" r:id="rId15"/>
    <sheet name="May 6, 2022" sheetId="280" r:id="rId16"/>
    <sheet name="April 29, 2022" sheetId="279" r:id="rId17"/>
    <sheet name="April 22, 2022" sheetId="278" r:id="rId18"/>
    <sheet name="April 13, 2022" sheetId="277" r:id="rId19"/>
    <sheet name="April 11, 2022" sheetId="276" r:id="rId20"/>
    <sheet name="April 8, 2022" sheetId="275" r:id="rId21"/>
    <sheet name="April 6, 2022" sheetId="274" r:id="rId22"/>
    <sheet name="April 4, 2022" sheetId="273" r:id="rId23"/>
    <sheet name="April 1, 2022" sheetId="272" r:id="rId24"/>
    <sheet name="March 30, 2022" sheetId="271" r:id="rId25"/>
    <sheet name="March 28, 2022" sheetId="270" r:id="rId26"/>
    <sheet name="March 25, 2022" sheetId="269" r:id="rId27"/>
    <sheet name="March 23, 2022" sheetId="268" r:id="rId28"/>
    <sheet name="March 21, 2022" sheetId="267" r:id="rId29"/>
    <sheet name="March 18, 2022" sheetId="266" r:id="rId30"/>
    <sheet name="March 16, 2022" sheetId="265" r:id="rId31"/>
    <sheet name="March 11, 2022" sheetId="264" r:id="rId32"/>
    <sheet name="March 09, 2022" sheetId="263" r:id="rId33"/>
    <sheet name="March 07, 2022" sheetId="262" r:id="rId34"/>
    <sheet name="March 04, 2022" sheetId="261" r:id="rId35"/>
    <sheet name="March 02, 2022" sheetId="260" r:id="rId36"/>
    <sheet name="February 25, 2022" sheetId="259" r:id="rId37"/>
    <sheet name="February 23, 2022" sheetId="258" r:id="rId38"/>
    <sheet name="February 18, 2022" sheetId="257" r:id="rId39"/>
    <sheet name="February 16, 2022" sheetId="256" r:id="rId40"/>
    <sheet name="February 14, 2022" sheetId="255" r:id="rId41"/>
    <sheet name="February 11, 2022" sheetId="254" r:id="rId42"/>
    <sheet name="February 9, 2022" sheetId="253" r:id="rId43"/>
    <sheet name="February 7, 2022" sheetId="252" r:id="rId44"/>
    <sheet name="February 4, 2022" sheetId="251" r:id="rId45"/>
    <sheet name="February 2, 2022" sheetId="250" r:id="rId46"/>
    <sheet name="January 31, 2022" sheetId="249" r:id="rId47"/>
    <sheet name="January 28, 2022" sheetId="248" r:id="rId48"/>
    <sheet name="January 26, 2022" sheetId="247" r:id="rId49"/>
    <sheet name="January 24, 2022" sheetId="246" r:id="rId50"/>
    <sheet name="January 21, 2022" sheetId="245" r:id="rId51"/>
    <sheet name="January 19, 2022" sheetId="244" r:id="rId52"/>
    <sheet name="January 17, 2022" sheetId="243" r:id="rId53"/>
    <sheet name="January 13, 2022" sheetId="242" r:id="rId54"/>
    <sheet name="January 11, 2022" sheetId="241" r:id="rId55"/>
    <sheet name="January 6, 2022" sheetId="240" r:id="rId56"/>
    <sheet name="December 10, 2021" sheetId="239" r:id="rId57"/>
    <sheet name="December 8, 2021" sheetId="238" r:id="rId58"/>
    <sheet name="December 6, 2021" sheetId="237" r:id="rId59"/>
    <sheet name="December 3, 2021" sheetId="236" r:id="rId60"/>
    <sheet name="December 1, 2021" sheetId="235" r:id="rId61"/>
    <sheet name="November 29, 2021 " sheetId="234" r:id="rId62"/>
    <sheet name="November 26, 2021" sheetId="233" r:id="rId63"/>
    <sheet name="November 24, 2021" sheetId="232" r:id="rId64"/>
    <sheet name="November 22, 2021" sheetId="231" r:id="rId65"/>
    <sheet name="November 19, 2021" sheetId="230" r:id="rId66"/>
    <sheet name="November 17, 2021" sheetId="229" r:id="rId67"/>
    <sheet name="November 15, 2021" sheetId="228" r:id="rId68"/>
    <sheet name="November 11, 2021" sheetId="227" r:id="rId69"/>
    <sheet name="November 8, 2021" sheetId="226" r:id="rId70"/>
    <sheet name="November 5, 2021" sheetId="225" r:id="rId71"/>
    <sheet name="November 3, 2021" sheetId="224" r:id="rId72"/>
    <sheet name="November 1, 2021" sheetId="223" r:id="rId73"/>
    <sheet name="October 28, 2021" sheetId="222" r:id="rId74"/>
    <sheet name="October 26, 2021" sheetId="221" r:id="rId75"/>
    <sheet name="October 21, 2021" sheetId="219" r:id="rId76"/>
    <sheet name="October 20, 2021" sheetId="218" r:id="rId77"/>
    <sheet name="October 18, 2021" sheetId="217" r:id="rId78"/>
    <sheet name="October 14, 2021" sheetId="216" r:id="rId79"/>
    <sheet name="October 12, 2021" sheetId="215" r:id="rId80"/>
    <sheet name="Octover 8, 2021" sheetId="214" r:id="rId81"/>
    <sheet name="October 6, 2021" sheetId="213" r:id="rId82"/>
    <sheet name="October 4, 2021" sheetId="212" r:id="rId83"/>
    <sheet name="October 1, 2021" sheetId="211" r:id="rId84"/>
    <sheet name="September 29, 2021" sheetId="210" r:id="rId85"/>
    <sheet name="September 27, 2021" sheetId="209" r:id="rId86"/>
    <sheet name="September 24, 2021" sheetId="208" r:id="rId87"/>
    <sheet name="September 22, 2021" sheetId="207" r:id="rId88"/>
    <sheet name="September 20, 2021" sheetId="206" r:id="rId89"/>
    <sheet name="September 17, 2021" sheetId="205" r:id="rId90"/>
    <sheet name="September 15, 2021" sheetId="204" r:id="rId91"/>
    <sheet name="September 13, 2021" sheetId="203" r:id="rId92"/>
    <sheet name="September 10, 2021" sheetId="202" r:id="rId93"/>
    <sheet name="September 3, 2021" sheetId="201" r:id="rId94"/>
    <sheet name="August 30, 2021" sheetId="200" r:id="rId95"/>
    <sheet name="August 27, 2021" sheetId="199" r:id="rId96"/>
    <sheet name="August 25, 2021" sheetId="198" r:id="rId97"/>
    <sheet name="August 23, 2021" sheetId="197" r:id="rId98"/>
    <sheet name="August 20, 2021" sheetId="196" r:id="rId99"/>
    <sheet name="August 18, 2021" sheetId="195" r:id="rId100"/>
    <sheet name="August 16, 2021" sheetId="194" r:id="rId101"/>
    <sheet name="August 13, 2021" sheetId="193" r:id="rId102"/>
    <sheet name="August 11, 2021" sheetId="192" r:id="rId103"/>
    <sheet name="August 9, 2021" sheetId="191" r:id="rId104"/>
    <sheet name="August 5, 2021" sheetId="190" r:id="rId105"/>
    <sheet name="August 3, 2021" sheetId="189" r:id="rId106"/>
    <sheet name="July 30, 2021" sheetId="188" r:id="rId107"/>
    <sheet name="July 28, 2021" sheetId="187" r:id="rId108"/>
    <sheet name="July 26, 2021" sheetId="186" r:id="rId109"/>
    <sheet name="July 23, 2021" sheetId="185" r:id="rId110"/>
    <sheet name="July 21, 2021" sheetId="184" r:id="rId111"/>
    <sheet name="July 19, 2021" sheetId="183" r:id="rId112"/>
    <sheet name="July 16, 2021" sheetId="182" r:id="rId113"/>
    <sheet name="July 14, 2021" sheetId="181" r:id="rId114"/>
    <sheet name="July 12, 2021" sheetId="180" r:id="rId115"/>
    <sheet name="July 9, 2021" sheetId="179" r:id="rId116"/>
    <sheet name="July 7, 2021" sheetId="178" r:id="rId117"/>
    <sheet name="July 5, 2021" sheetId="177" r:id="rId118"/>
    <sheet name="June 30, 2021" sheetId="176" r:id="rId119"/>
    <sheet name="June 28, 2021" sheetId="175" r:id="rId120"/>
    <sheet name="June 25, 2021" sheetId="174" r:id="rId121"/>
    <sheet name="June 23, 2021" sheetId="173" r:id="rId122"/>
    <sheet name="June 21, 2021" sheetId="172" r:id="rId123"/>
    <sheet name="June 18, 2021" sheetId="171" r:id="rId124"/>
    <sheet name="June 16, 2021" sheetId="170" r:id="rId125"/>
    <sheet name="June 14, 2021" sheetId="169" r:id="rId126"/>
    <sheet name="June 11, 2021" sheetId="168" r:id="rId127"/>
    <sheet name="June 9, 2021" sheetId="167" r:id="rId128"/>
    <sheet name="June 7, 2021" sheetId="166" r:id="rId129"/>
    <sheet name="June 4, 2021" sheetId="165" r:id="rId130"/>
    <sheet name="June 2, 2021" sheetId="164" r:id="rId131"/>
    <sheet name="May 31, 2021" sheetId="163" r:id="rId132"/>
    <sheet name="May 27, 2021" sheetId="162" r:id="rId133"/>
    <sheet name="May 25, 2021" sheetId="161" r:id="rId134"/>
    <sheet name="May 21, 2021" sheetId="160" r:id="rId135"/>
    <sheet name="May 19, 2021" sheetId="159" r:id="rId136"/>
    <sheet name="May 17, 2021" sheetId="158" r:id="rId137"/>
    <sheet name="May 14, 2021" sheetId="157" r:id="rId138"/>
    <sheet name="May 12, 2021" sheetId="156" r:id="rId139"/>
    <sheet name="May 10, 2021" sheetId="155" r:id="rId140"/>
    <sheet name="May 7, 2021" sheetId="154" r:id="rId141"/>
    <sheet name="May 5, 2021" sheetId="153" r:id="rId142"/>
    <sheet name="May 3, 2021" sheetId="152" r:id="rId143"/>
    <sheet name="April 30, 2021" sheetId="151" r:id="rId144"/>
    <sheet name="April 28, 2021" sheetId="150" r:id="rId145"/>
    <sheet name="April 26, 2021" sheetId="149" r:id="rId146"/>
    <sheet name="April 23, 2021" sheetId="148" r:id="rId147"/>
    <sheet name="April 21, 2021" sheetId="147" r:id="rId148"/>
    <sheet name="April 19, 2021" sheetId="146" r:id="rId149"/>
    <sheet name="April 16, 2021" sheetId="145" r:id="rId150"/>
    <sheet name="April 14, 2021" sheetId="144" r:id="rId151"/>
    <sheet name="April 12, 2021" sheetId="143" r:id="rId152"/>
    <sheet name="April 9, 2021" sheetId="142" r:id="rId153"/>
    <sheet name="April 7, 2021" sheetId="141" r:id="rId154"/>
    <sheet name="April 5, 2021" sheetId="140" r:id="rId155"/>
    <sheet name="March 31, 2021" sheetId="139" r:id="rId156"/>
    <sheet name="March 29, 2021" sheetId="138" r:id="rId157"/>
    <sheet name="March 26, 2021" sheetId="137" r:id="rId158"/>
    <sheet name="March 24, 2021" sheetId="136" r:id="rId159"/>
    <sheet name="March 22, 2021" sheetId="135" r:id="rId160"/>
    <sheet name="March 19, 2021" sheetId="134" r:id="rId161"/>
    <sheet name="March 17, 2021" sheetId="133" r:id="rId162"/>
    <sheet name="March 15, 2021" sheetId="132" r:id="rId163"/>
    <sheet name="March 12, 2021" sheetId="131" r:id="rId164"/>
    <sheet name="March 5, 2021" sheetId="130" r:id="rId165"/>
    <sheet name="March 3, 2021" sheetId="129" r:id="rId166"/>
    <sheet name="March 1, 2021" sheetId="128" r:id="rId167"/>
    <sheet name="February 26, 2021" sheetId="127" r:id="rId168"/>
    <sheet name="February 24, 2021" sheetId="126" r:id="rId169"/>
    <sheet name="February 22, 2021" sheetId="125" r:id="rId170"/>
    <sheet name="February 18, 2021" sheetId="124" r:id="rId171"/>
    <sheet name="February 16, 2021" sheetId="123" r:id="rId172"/>
    <sheet name="February 12, 2021" sheetId="122" r:id="rId173"/>
    <sheet name="February 10, 2021" sheetId="121" r:id="rId174"/>
    <sheet name="February 8, 2021" sheetId="120" r:id="rId175"/>
    <sheet name="February 5, 2021" sheetId="119" r:id="rId176"/>
    <sheet name="February 3, 2021" sheetId="118" r:id="rId177"/>
    <sheet name="February 1, 2021" sheetId="117" r:id="rId178"/>
    <sheet name="January 29, 2021" sheetId="116" r:id="rId179"/>
    <sheet name="January 27, 2021" sheetId="115" r:id="rId180"/>
    <sheet name="January 25, 2021" sheetId="114" r:id="rId181"/>
    <sheet name="January 22, 2021" sheetId="113" r:id="rId182"/>
    <sheet name="January 20, 2021" sheetId="112" r:id="rId183"/>
    <sheet name="January 18, 2021" sheetId="111" r:id="rId184"/>
    <sheet name="January 13, 2021" sheetId="110" r:id="rId185"/>
    <sheet name="January 11, 2021" sheetId="109" r:id="rId186"/>
    <sheet name="January 8, 2021" sheetId="108" r:id="rId187"/>
    <sheet name="January 6, 2021" sheetId="107" r:id="rId188"/>
    <sheet name="January 4, 2021" sheetId="106" r:id="rId189"/>
    <sheet name="December 23, 2020" sheetId="105" r:id="rId190"/>
    <sheet name="December 21, 2020" sheetId="104" r:id="rId191"/>
    <sheet name="December 18, 2020" sheetId="103" r:id="rId192"/>
    <sheet name="December 16, 2020" sheetId="102" r:id="rId193"/>
    <sheet name="December 14, 2020" sheetId="101" r:id="rId194"/>
    <sheet name="December 11, 2020" sheetId="100" r:id="rId195"/>
    <sheet name="December 9, 2020" sheetId="99" r:id="rId196"/>
    <sheet name="December 7, 2020" sheetId="98" r:id="rId197"/>
    <sheet name="December 2, 2020" sheetId="97" r:id="rId198"/>
    <sheet name="November 30, 2020" sheetId="96" r:id="rId199"/>
    <sheet name="November 27, 2020" sheetId="95" r:id="rId200"/>
    <sheet name="November 25, 2020" sheetId="94" r:id="rId201"/>
    <sheet name="November 23, 2020" sheetId="93" r:id="rId202"/>
    <sheet name="November 20, 2020" sheetId="92" r:id="rId203"/>
    <sheet name="November 18, 2020" sheetId="91" r:id="rId204"/>
    <sheet name="November 16, 2020" sheetId="90" r:id="rId205"/>
    <sheet name="November 13, 2020" sheetId="89" r:id="rId206"/>
    <sheet name="November 11, 2020" sheetId="88" r:id="rId207"/>
    <sheet name="November 9, 2020" sheetId="87" r:id="rId208"/>
    <sheet name="November 6, 2020" sheetId="86" r:id="rId209"/>
    <sheet name="November 4, 2020" sheetId="85" r:id="rId210"/>
    <sheet name="November 2, 2020" sheetId="84" r:id="rId211"/>
    <sheet name="October 30, 2020" sheetId="83" r:id="rId212"/>
    <sheet name="October 28, 2020" sheetId="82" r:id="rId213"/>
    <sheet name="October 26, 2020" sheetId="81" r:id="rId214"/>
    <sheet name="October 23, 2020" sheetId="80" r:id="rId215"/>
    <sheet name="October 21, 2020" sheetId="79" r:id="rId216"/>
    <sheet name="October 19, 2020" sheetId="78" r:id="rId217"/>
    <sheet name="October 15, 2020" sheetId="77" r:id="rId218"/>
    <sheet name="October 13, 2020" sheetId="76" r:id="rId219"/>
    <sheet name="October 9, 2020" sheetId="75" r:id="rId220"/>
    <sheet name="October 7, 2020" sheetId="74" r:id="rId221"/>
    <sheet name="October 5, 2020" sheetId="73" r:id="rId222"/>
    <sheet name="October 2, 2020" sheetId="72" r:id="rId223"/>
    <sheet name="September 30, 2020" sheetId="71" r:id="rId224"/>
    <sheet name="September 28, 2020" sheetId="70" r:id="rId225"/>
    <sheet name="September 25, 2020" sheetId="69" r:id="rId226"/>
    <sheet name="September 23, 2020" sheetId="68" r:id="rId227"/>
    <sheet name="September 21, 2020" sheetId="67" r:id="rId228"/>
    <sheet name="September 18, 2020" sheetId="66" r:id="rId229"/>
    <sheet name="September 16, 2020" sheetId="65" r:id="rId230"/>
    <sheet name="September 14, 2020" sheetId="64" r:id="rId231"/>
    <sheet name="September 11, 2020" sheetId="63" r:id="rId232"/>
    <sheet name="September 10, 2020" sheetId="62" r:id="rId233"/>
    <sheet name="September 8, 2020" sheetId="61" r:id="rId234"/>
    <sheet name="September 4, 2020" sheetId="60" r:id="rId235"/>
    <sheet name="September 2, 2020" sheetId="59" r:id="rId236"/>
    <sheet name="August 31, 2020" sheetId="58" r:id="rId237"/>
    <sheet name="August 28, 2020" sheetId="57" r:id="rId238"/>
    <sheet name="August 26, 2020" sheetId="56" r:id="rId239"/>
    <sheet name="August 24, 2020" sheetId="55" r:id="rId240"/>
    <sheet name="August 21, 2020" sheetId="54" r:id="rId241"/>
    <sheet name="August 19, 2020 " sheetId="53" r:id="rId242"/>
    <sheet name="August 17, 2020" sheetId="52" r:id="rId243"/>
    <sheet name="August 14, 2020" sheetId="51" r:id="rId244"/>
    <sheet name="August 12, 2020" sheetId="50" r:id="rId245"/>
    <sheet name="August 10, 2020" sheetId="49" r:id="rId246"/>
    <sheet name="August 07, 2020" sheetId="48" r:id="rId247"/>
    <sheet name="August 05, 2020" sheetId="47" r:id="rId248"/>
    <sheet name="August 04, 2020" sheetId="46" r:id="rId249"/>
    <sheet name="July 29, 2020" sheetId="45" r:id="rId250"/>
    <sheet name="July 27, 2020" sheetId="44" r:id="rId251"/>
    <sheet name="July 24, 2020" sheetId="43" r:id="rId252"/>
    <sheet name="July 22, 2020" sheetId="42" r:id="rId253"/>
    <sheet name="July 20, 2020" sheetId="41" r:id="rId254"/>
    <sheet name="July 17, 2020" sheetId="40" r:id="rId255"/>
    <sheet name="July 15, 2020" sheetId="39" r:id="rId256"/>
    <sheet name="July 13, 2020" sheetId="38" r:id="rId257"/>
    <sheet name="July 10, 2020" sheetId="37" r:id="rId258"/>
    <sheet name="July 08, 2020" sheetId="36" r:id="rId259"/>
    <sheet name="July 06, 2020" sheetId="35" r:id="rId260"/>
    <sheet name="June 29, 2020" sheetId="34" r:id="rId261"/>
    <sheet name="June 26, 2020" sheetId="33" r:id="rId262"/>
    <sheet name="June 24, 2020" sheetId="32" r:id="rId263"/>
    <sheet name="June 22, 2020" sheetId="31" r:id="rId264"/>
    <sheet name="June 19, 2020" sheetId="30" r:id="rId265"/>
    <sheet name="June 17, 2020" sheetId="29" r:id="rId266"/>
    <sheet name="June 15, 2020" sheetId="28" r:id="rId267"/>
    <sheet name="June 12, 2020" sheetId="27" r:id="rId268"/>
    <sheet name="June 10, 2020" sheetId="26" r:id="rId269"/>
    <sheet name="June 08, 2020" sheetId="25" r:id="rId270"/>
    <sheet name="June 05, 2020" sheetId="24" r:id="rId271"/>
    <sheet name="June 03, 2020" sheetId="23" r:id="rId272"/>
    <sheet name="June 01, 2020" sheetId="22" r:id="rId273"/>
    <sheet name="May 29, 2020" sheetId="21" r:id="rId274"/>
    <sheet name="May 27, 2020" sheetId="20" r:id="rId275"/>
    <sheet name="May 25, 2020" sheetId="19" r:id="rId276"/>
    <sheet name="May 21, 2020" sheetId="18" r:id="rId277"/>
    <sheet name="May 19, 2020" sheetId="17" r:id="rId278"/>
    <sheet name="May 15, 2020" sheetId="16" r:id="rId279"/>
    <sheet name="May 13, 2020" sheetId="15" r:id="rId280"/>
    <sheet name="May 11, 2020" sheetId="14" r:id="rId281"/>
    <sheet name="May 6, 2020" sheetId="13" r:id="rId282"/>
    <sheet name="May 4, 2020" sheetId="11" r:id="rId283"/>
    <sheet name="May 1, 2020" sheetId="12" r:id="rId284"/>
    <sheet name="April 29, 2020" sheetId="10" r:id="rId285"/>
    <sheet name="April 27, 2020" sheetId="9" r:id="rId286"/>
    <sheet name="April 24, 2020" sheetId="8" r:id="rId287"/>
    <sheet name="April 22, 2020" sheetId="7" r:id="rId288"/>
    <sheet name="April 20, 2020" sheetId="6" r:id="rId289"/>
    <sheet name="April 16, 2020" sheetId="5" r:id="rId290"/>
    <sheet name="April 13, 2020" sheetId="3" r:id="rId29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295" l="1"/>
  <c r="B3" i="295"/>
  <c r="C3" i="294"/>
  <c r="B3" i="294"/>
  <c r="C3" i="293"/>
  <c r="B3" i="293"/>
  <c r="C3" i="292"/>
  <c r="B3" i="292"/>
  <c r="C3" i="291" l="1"/>
  <c r="B3" i="291"/>
  <c r="C3" i="290"/>
  <c r="B3" i="290"/>
  <c r="C3" i="289"/>
  <c r="B3" i="289"/>
  <c r="C3" i="288"/>
  <c r="B3" i="288"/>
  <c r="C3" i="287"/>
  <c r="B3" i="287"/>
  <c r="C3" i="286"/>
  <c r="B3" i="286"/>
  <c r="C3" i="285"/>
  <c r="B3" i="285"/>
  <c r="C3" i="284"/>
  <c r="B3" i="284"/>
  <c r="C3" i="283"/>
  <c r="B3" i="283"/>
  <c r="C3" i="282" l="1"/>
  <c r="B3" i="282"/>
  <c r="C3" i="281" l="1"/>
  <c r="B3" i="281"/>
  <c r="C3" i="280" l="1"/>
  <c r="B3" i="280"/>
  <c r="C3" i="279" l="1"/>
  <c r="B3" i="279"/>
  <c r="C3" i="278" l="1"/>
  <c r="B3" i="278"/>
  <c r="C3" i="277" l="1"/>
  <c r="B3" i="277"/>
  <c r="C3" i="276" l="1"/>
  <c r="B3" i="276"/>
  <c r="C3" i="275" l="1"/>
  <c r="B3" i="275"/>
  <c r="C3" i="274" l="1"/>
  <c r="B3" i="274"/>
  <c r="C3" i="273" l="1"/>
  <c r="B3" i="273"/>
  <c r="C3" i="272" l="1"/>
  <c r="B3" i="272"/>
  <c r="C3" i="271" l="1"/>
  <c r="B3" i="271"/>
  <c r="C3" i="270" l="1"/>
  <c r="B3" i="270"/>
  <c r="C3" i="269" l="1"/>
  <c r="B3" i="269"/>
  <c r="C3" i="268" l="1"/>
  <c r="B3" i="268"/>
  <c r="C3" i="267" l="1"/>
  <c r="B3" i="267"/>
  <c r="C3" i="266" l="1"/>
  <c r="B3" i="266"/>
  <c r="C3" i="265" l="1"/>
  <c r="B3" i="265"/>
  <c r="C3" i="264" l="1"/>
  <c r="B3" i="264"/>
  <c r="C3" i="263" l="1"/>
  <c r="B3" i="263"/>
  <c r="C3" i="262" l="1"/>
  <c r="B3" i="262"/>
  <c r="C3" i="261" l="1"/>
  <c r="B3" i="261"/>
  <c r="C3" i="260" l="1"/>
  <c r="B3" i="260"/>
  <c r="C3" i="259" l="1"/>
  <c r="B3" i="259"/>
  <c r="C3" i="258" l="1"/>
  <c r="B3" i="258"/>
  <c r="C3" i="257" l="1"/>
  <c r="B3" i="257"/>
  <c r="C3" i="256" l="1"/>
  <c r="B3" i="256"/>
  <c r="C3" i="255" l="1"/>
  <c r="B3" i="255"/>
  <c r="C3" i="254" l="1"/>
  <c r="B3" i="254"/>
  <c r="C3" i="253" l="1"/>
  <c r="B3" i="253"/>
  <c r="C3" i="252" l="1"/>
  <c r="B3" i="252"/>
  <c r="C3" i="251" l="1"/>
  <c r="B3" i="251"/>
  <c r="C3" i="250" l="1"/>
  <c r="B3" i="250"/>
  <c r="C3" i="249" l="1"/>
  <c r="B3" i="249"/>
  <c r="C3" i="248" l="1"/>
  <c r="B3" i="248"/>
  <c r="C3" i="247" l="1"/>
  <c r="B3" i="247"/>
  <c r="C3" i="246" l="1"/>
  <c r="B3" i="246"/>
  <c r="C3" i="245" l="1"/>
  <c r="B3" i="245"/>
  <c r="C3" i="244" l="1"/>
  <c r="B3" i="244"/>
  <c r="C3" i="243" l="1"/>
  <c r="B3" i="243"/>
  <c r="C3" i="242" l="1"/>
  <c r="B3" i="242"/>
  <c r="C3" i="241" l="1"/>
  <c r="B3" i="241"/>
  <c r="B3" i="240" l="1"/>
  <c r="C3" i="240"/>
  <c r="B12" i="239" l="1"/>
  <c r="B10" i="239"/>
  <c r="B9" i="239"/>
  <c r="B8" i="239"/>
  <c r="B7" i="239"/>
  <c r="B6" i="239"/>
  <c r="B5" i="239"/>
  <c r="B4" i="239"/>
  <c r="B14" i="239"/>
  <c r="C3" i="239"/>
  <c r="B3" i="239" l="1"/>
  <c r="B12" i="238"/>
  <c r="B10" i="238"/>
  <c r="B9" i="238"/>
  <c r="B8" i="238"/>
  <c r="B7" i="238"/>
  <c r="B6" i="238"/>
  <c r="B5" i="238"/>
  <c r="B4" i="238"/>
  <c r="B14" i="238"/>
  <c r="C3" i="238"/>
  <c r="B3" i="238" l="1"/>
  <c r="B12" i="237"/>
  <c r="B10" i="237"/>
  <c r="B9" i="237"/>
  <c r="B7" i="237"/>
  <c r="B6" i="237"/>
  <c r="B5" i="237"/>
  <c r="B4" i="237"/>
  <c r="B14" i="237"/>
  <c r="B8" i="237"/>
  <c r="C3" i="237"/>
  <c r="B3" i="237" l="1"/>
  <c r="B14" i="236"/>
  <c r="B12" i="236"/>
  <c r="B10" i="236"/>
  <c r="B9" i="236"/>
  <c r="B8" i="236"/>
  <c r="B7" i="236"/>
  <c r="B6" i="236"/>
  <c r="B5" i="236"/>
  <c r="B4" i="236"/>
  <c r="C3" i="236"/>
  <c r="B3" i="236" l="1"/>
  <c r="B12" i="235"/>
  <c r="B10" i="235"/>
  <c r="B9" i="235"/>
  <c r="B8" i="235"/>
  <c r="B7" i="235"/>
  <c r="B6" i="235"/>
  <c r="B5" i="235"/>
  <c r="B4" i="235"/>
  <c r="B14" i="235"/>
  <c r="C3" i="235"/>
  <c r="B3" i="235" l="1"/>
  <c r="B12" i="234"/>
  <c r="B10" i="234"/>
  <c r="B9" i="234"/>
  <c r="B8" i="234"/>
  <c r="B7" i="234"/>
  <c r="B6" i="234"/>
  <c r="B5" i="234"/>
  <c r="B4" i="234"/>
  <c r="B14" i="234"/>
  <c r="C3" i="234"/>
  <c r="B3" i="234" l="1"/>
  <c r="B12" i="233"/>
  <c r="B10" i="233"/>
  <c r="B9" i="233"/>
  <c r="B8" i="233"/>
  <c r="B7" i="233"/>
  <c r="B6" i="233"/>
  <c r="B5" i="233"/>
  <c r="B4" i="233"/>
  <c r="B14" i="233"/>
  <c r="C3" i="233"/>
  <c r="B3" i="233" l="1"/>
  <c r="B12" i="232"/>
  <c r="B9" i="232"/>
  <c r="B8" i="232"/>
  <c r="B7" i="232"/>
  <c r="B6" i="232"/>
  <c r="B5" i="232"/>
  <c r="B4" i="232"/>
  <c r="B14" i="232"/>
  <c r="B10" i="232"/>
  <c r="C3" i="232"/>
  <c r="B3" i="232" l="1"/>
  <c r="B12" i="231"/>
  <c r="B9" i="231"/>
  <c r="B6" i="231"/>
  <c r="B5" i="231"/>
  <c r="B4" i="231"/>
  <c r="B14" i="231"/>
  <c r="B10" i="231"/>
  <c r="B8" i="231"/>
  <c r="B7" i="231"/>
  <c r="C3" i="231"/>
  <c r="B3" i="231" l="1"/>
  <c r="B12" i="230"/>
  <c r="B10" i="230"/>
  <c r="B9" i="230"/>
  <c r="B7" i="230"/>
  <c r="B6" i="230"/>
  <c r="B5" i="230"/>
  <c r="B4" i="230"/>
  <c r="B14" i="230"/>
  <c r="B8" i="230"/>
  <c r="C3" i="230"/>
  <c r="B3" i="230" l="1"/>
  <c r="B12" i="229"/>
  <c r="B10" i="229"/>
  <c r="B9" i="229"/>
  <c r="B8" i="229"/>
  <c r="B7" i="229"/>
  <c r="B6" i="229"/>
  <c r="B5" i="229"/>
  <c r="B4" i="229"/>
  <c r="B14" i="229"/>
  <c r="C3" i="229"/>
  <c r="B3" i="229" l="1"/>
  <c r="B12" i="228"/>
  <c r="B10" i="228"/>
  <c r="B9" i="228"/>
  <c r="B8" i="228"/>
  <c r="B7" i="228"/>
  <c r="B6" i="228"/>
  <c r="B5" i="228"/>
  <c r="B4" i="228"/>
  <c r="B14" i="228"/>
  <c r="C3" i="228"/>
  <c r="B3" i="228" l="1"/>
  <c r="B12" i="227"/>
  <c r="B10" i="227"/>
  <c r="B9" i="227"/>
  <c r="B8" i="227"/>
  <c r="B7" i="227"/>
  <c r="B6" i="227"/>
  <c r="B5" i="227"/>
  <c r="B4" i="227"/>
  <c r="B14" i="227"/>
  <c r="C3" i="227"/>
  <c r="B3" i="227" l="1"/>
  <c r="B14" i="226"/>
  <c r="B12" i="226"/>
  <c r="B9" i="226"/>
  <c r="B7" i="226"/>
  <c r="B6" i="226"/>
  <c r="B5" i="226"/>
  <c r="B4" i="226"/>
  <c r="B10" i="226"/>
  <c r="B8" i="226"/>
  <c r="C3" i="226"/>
  <c r="B3" i="226" l="1"/>
  <c r="B12" i="225"/>
  <c r="B10" i="225"/>
  <c r="B9" i="225"/>
  <c r="B7" i="225"/>
  <c r="B6" i="225"/>
  <c r="B5" i="225"/>
  <c r="B4" i="225"/>
  <c r="B14" i="225"/>
  <c r="B8" i="225"/>
  <c r="C3" i="225"/>
  <c r="B3" i="225" l="1"/>
  <c r="B14" i="224"/>
  <c r="B12" i="224"/>
  <c r="B9" i="224"/>
  <c r="B8" i="224"/>
  <c r="B7" i="224"/>
  <c r="B6" i="224"/>
  <c r="B5" i="224"/>
  <c r="B10" i="224"/>
  <c r="B4" i="224"/>
  <c r="C3" i="224"/>
  <c r="B3" i="224" l="1"/>
  <c r="B12" i="223"/>
  <c r="B10" i="223"/>
  <c r="B9" i="223"/>
  <c r="B8" i="223"/>
  <c r="B7" i="223"/>
  <c r="B6" i="223"/>
  <c r="B5" i="223"/>
  <c r="B4" i="223"/>
  <c r="B14" i="223"/>
  <c r="C3" i="223"/>
  <c r="B3" i="223" l="1"/>
  <c r="B12" i="222"/>
  <c r="B10" i="222"/>
  <c r="B9" i="222"/>
  <c r="B7" i="222"/>
  <c r="B6" i="222"/>
  <c r="B5" i="222"/>
  <c r="B4" i="222"/>
  <c r="B14" i="222"/>
  <c r="B8" i="222"/>
  <c r="C3" i="222"/>
  <c r="B3" i="222" l="1"/>
  <c r="B14" i="221"/>
  <c r="B12" i="221"/>
  <c r="B10" i="221"/>
  <c r="B9" i="221"/>
  <c r="B8" i="221"/>
  <c r="B7" i="221"/>
  <c r="B6" i="221"/>
  <c r="B5" i="221"/>
  <c r="B4" i="221"/>
  <c r="C3" i="221"/>
  <c r="B3" i="221" l="1"/>
  <c r="B12" i="219"/>
  <c r="B10" i="219"/>
  <c r="B9" i="219"/>
  <c r="B7" i="219"/>
  <c r="B6" i="219"/>
  <c r="B5" i="219"/>
  <c r="B4" i="219"/>
  <c r="B14" i="219"/>
  <c r="B8" i="219"/>
  <c r="C3" i="219"/>
  <c r="B14" i="218"/>
  <c r="B12" i="218"/>
  <c r="B9" i="218"/>
  <c r="B8" i="218"/>
  <c r="B7" i="218"/>
  <c r="B6" i="218"/>
  <c r="B5" i="218"/>
  <c r="B4" i="218"/>
  <c r="B10" i="218"/>
  <c r="C3" i="218"/>
  <c r="B14" i="217"/>
  <c r="B12" i="217"/>
  <c r="B10" i="217"/>
  <c r="B9" i="217"/>
  <c r="B8" i="217"/>
  <c r="B7" i="217"/>
  <c r="B6" i="217"/>
  <c r="B5" i="217"/>
  <c r="B4" i="217"/>
  <c r="C3" i="217"/>
  <c r="B14" i="216"/>
  <c r="B12" i="216"/>
  <c r="B10" i="216"/>
  <c r="B9" i="216"/>
  <c r="B8" i="216"/>
  <c r="B7" i="216"/>
  <c r="B6" i="216"/>
  <c r="B5" i="216"/>
  <c r="B4" i="216"/>
  <c r="C3" i="216"/>
  <c r="B14" i="215"/>
  <c r="B12" i="215"/>
  <c r="B9" i="215"/>
  <c r="B8" i="215"/>
  <c r="B7" i="215"/>
  <c r="B6" i="215"/>
  <c r="B5" i="215"/>
  <c r="B4" i="215"/>
  <c r="B10" i="215"/>
  <c r="C3" i="215"/>
  <c r="B14" i="214"/>
  <c r="B12" i="214"/>
  <c r="B10" i="214"/>
  <c r="B9" i="214"/>
  <c r="B8" i="214"/>
  <c r="B7" i="214"/>
  <c r="B6" i="214"/>
  <c r="B4" i="214"/>
  <c r="B5" i="214"/>
  <c r="C3" i="214"/>
  <c r="B14" i="213"/>
  <c r="B12" i="213"/>
  <c r="B10" i="213"/>
  <c r="B9" i="213"/>
  <c r="B7" i="213"/>
  <c r="B6" i="213"/>
  <c r="B5" i="213"/>
  <c r="B4" i="213"/>
  <c r="B8" i="213"/>
  <c r="C3" i="213"/>
  <c r="B14" i="212"/>
  <c r="B12" i="212"/>
  <c r="B10" i="212"/>
  <c r="B9" i="212"/>
  <c r="B8" i="212"/>
  <c r="B7" i="212"/>
  <c r="B6" i="212"/>
  <c r="B5" i="212"/>
  <c r="B4" i="212"/>
  <c r="C3" i="212"/>
  <c r="B14" i="211"/>
  <c r="B12" i="211"/>
  <c r="B10" i="211"/>
  <c r="B9" i="211"/>
  <c r="B7" i="211"/>
  <c r="B6" i="211"/>
  <c r="B5" i="211"/>
  <c r="B4" i="211"/>
  <c r="B8" i="211"/>
  <c r="C3" i="211"/>
  <c r="B14" i="210"/>
  <c r="B12" i="210"/>
  <c r="B10" i="210"/>
  <c r="B9" i="210"/>
  <c r="B8" i="210"/>
  <c r="B7" i="210"/>
  <c r="B6" i="210"/>
  <c r="B5" i="210"/>
  <c r="B4" i="210"/>
  <c r="C3" i="210"/>
  <c r="B12" i="209"/>
  <c r="B9" i="209"/>
  <c r="B7" i="209"/>
  <c r="B6" i="209"/>
  <c r="B5" i="209"/>
  <c r="B4" i="209"/>
  <c r="B14" i="209"/>
  <c r="B10" i="209"/>
  <c r="C3" i="209"/>
  <c r="B14" i="208"/>
  <c r="B12" i="208"/>
  <c r="B10" i="208"/>
  <c r="B9" i="208"/>
  <c r="B7" i="208"/>
  <c r="B6" i="208"/>
  <c r="B5" i="208"/>
  <c r="B4" i="208"/>
  <c r="C3" i="208"/>
  <c r="B14" i="207"/>
  <c r="B12" i="207"/>
  <c r="B6" i="207"/>
  <c r="B5" i="207"/>
  <c r="B4" i="207"/>
  <c r="B10" i="207"/>
  <c r="B7" i="207"/>
  <c r="C3" i="207"/>
  <c r="B14" i="206"/>
  <c r="B12" i="206"/>
  <c r="B10" i="206"/>
  <c r="B9" i="206"/>
  <c r="B7" i="206"/>
  <c r="B6" i="206"/>
  <c r="B5" i="206"/>
  <c r="B4" i="206"/>
  <c r="C3" i="206"/>
  <c r="B14" i="205"/>
  <c r="B12" i="205"/>
  <c r="B10" i="205"/>
  <c r="B9" i="205"/>
  <c r="B7" i="205"/>
  <c r="B6" i="205"/>
  <c r="B5" i="205"/>
  <c r="B4" i="205"/>
  <c r="C3" i="205"/>
  <c r="B14" i="204"/>
  <c r="B12" i="204"/>
  <c r="B10" i="204"/>
  <c r="B9" i="204"/>
  <c r="B7" i="204"/>
  <c r="B6" i="204"/>
  <c r="B5" i="204"/>
  <c r="B4" i="204"/>
  <c r="C3" i="204"/>
  <c r="B14" i="203"/>
  <c r="B12" i="203"/>
  <c r="B7" i="203"/>
  <c r="B6" i="203"/>
  <c r="B5" i="203"/>
  <c r="B4" i="203"/>
  <c r="B10" i="203"/>
  <c r="B9" i="203"/>
  <c r="C3" i="203"/>
  <c r="B14" i="202"/>
  <c r="B12" i="202"/>
  <c r="B10" i="202"/>
  <c r="B9" i="202"/>
  <c r="B7" i="202"/>
  <c r="B6" i="202"/>
  <c r="B5" i="202"/>
  <c r="B4" i="202"/>
  <c r="C3" i="202"/>
  <c r="B14" i="201"/>
  <c r="B12" i="201"/>
  <c r="B10" i="201"/>
  <c r="B9" i="201"/>
  <c r="B7" i="201"/>
  <c r="B6" i="201"/>
  <c r="B5" i="201"/>
  <c r="B4" i="201"/>
  <c r="C3" i="201"/>
  <c r="B14" i="200"/>
  <c r="B10" i="200"/>
  <c r="B9" i="200"/>
  <c r="B7" i="200"/>
  <c r="B6" i="200"/>
  <c r="B5" i="200"/>
  <c r="B4" i="200"/>
  <c r="C3" i="200"/>
  <c r="B10" i="199"/>
  <c r="B7" i="199"/>
  <c r="B6" i="199"/>
  <c r="B5" i="199"/>
  <c r="B4" i="199"/>
  <c r="B14" i="199"/>
  <c r="C3" i="199"/>
  <c r="B14" i="198"/>
  <c r="B10" i="198"/>
  <c r="B7" i="198"/>
  <c r="B6" i="198"/>
  <c r="B5" i="198"/>
  <c r="B4" i="198"/>
  <c r="C3" i="198"/>
  <c r="B7" i="197"/>
  <c r="B6" i="197"/>
  <c r="B5" i="197"/>
  <c r="B4" i="197"/>
  <c r="B10" i="197"/>
  <c r="C3" i="197"/>
  <c r="B10" i="196"/>
  <c r="B7" i="196"/>
  <c r="B6" i="196"/>
  <c r="B5" i="196"/>
  <c r="B4" i="196"/>
  <c r="C3" i="196"/>
  <c r="B7" i="195"/>
  <c r="B6" i="195"/>
  <c r="B5" i="195"/>
  <c r="B4" i="195"/>
  <c r="B10" i="195"/>
  <c r="C3" i="195"/>
  <c r="B10" i="194"/>
  <c r="B7" i="194"/>
  <c r="B6" i="194"/>
  <c r="B5" i="194"/>
  <c r="B4" i="194"/>
  <c r="C3" i="194"/>
  <c r="B10" i="193"/>
  <c r="B7" i="193"/>
  <c r="B6" i="193"/>
  <c r="B5" i="193"/>
  <c r="B4" i="193"/>
  <c r="C3" i="193"/>
  <c r="B7" i="192"/>
  <c r="B6" i="192"/>
  <c r="B5" i="192"/>
  <c r="B4" i="192"/>
  <c r="B10" i="192"/>
  <c r="C3" i="192"/>
  <c r="B10" i="191"/>
  <c r="B7" i="191"/>
  <c r="B6" i="191"/>
  <c r="B5" i="191"/>
  <c r="B4" i="191"/>
  <c r="C3" i="191"/>
  <c r="B10" i="190"/>
  <c r="B7" i="190"/>
  <c r="B6" i="190"/>
  <c r="B5" i="190"/>
  <c r="B4" i="190"/>
  <c r="C3" i="190"/>
  <c r="B10" i="189"/>
  <c r="B7" i="189"/>
  <c r="B6" i="189"/>
  <c r="B5" i="189"/>
  <c r="B4" i="189"/>
  <c r="C3" i="189"/>
  <c r="B12" i="188"/>
  <c r="B10" i="188"/>
  <c r="B7" i="188"/>
  <c r="B6" i="188"/>
  <c r="B5" i="188"/>
  <c r="B4" i="188"/>
  <c r="C3" i="188"/>
  <c r="B12" i="187"/>
  <c r="B10" i="187"/>
  <c r="B7" i="187"/>
  <c r="B6" i="187"/>
  <c r="B5" i="187"/>
  <c r="B4" i="187"/>
  <c r="C3" i="187"/>
  <c r="C3" i="186"/>
  <c r="B3" i="186"/>
  <c r="C3" i="185"/>
  <c r="B3" i="185"/>
  <c r="C3" i="184"/>
  <c r="B3" i="184"/>
  <c r="C3" i="183"/>
  <c r="B3" i="183"/>
  <c r="C3" i="182"/>
  <c r="B3" i="182"/>
  <c r="C3" i="181"/>
  <c r="B3" i="181"/>
  <c r="C3" i="180"/>
  <c r="B3" i="180"/>
  <c r="C3" i="179"/>
  <c r="B3" i="179"/>
  <c r="C3" i="178"/>
  <c r="B3" i="178"/>
  <c r="C3" i="177"/>
  <c r="B3" i="177"/>
  <c r="C3" i="176"/>
  <c r="B3" i="176"/>
  <c r="C3" i="175"/>
  <c r="B3" i="175"/>
  <c r="C3" i="174"/>
  <c r="B3" i="174"/>
  <c r="C3" i="173"/>
  <c r="B3" i="173"/>
  <c r="C3" i="172"/>
  <c r="B3" i="172"/>
  <c r="C3" i="171"/>
  <c r="B3" i="171"/>
  <c r="C3" i="170"/>
  <c r="B3" i="170"/>
  <c r="C3" i="169"/>
  <c r="B3" i="169"/>
  <c r="C3" i="168"/>
  <c r="B3" i="168"/>
  <c r="C3" i="167"/>
  <c r="B3" i="167"/>
  <c r="C3" i="166"/>
  <c r="B3" i="166"/>
  <c r="C3" i="165"/>
  <c r="B3" i="165"/>
  <c r="C3" i="164"/>
  <c r="B3" i="164"/>
  <c r="C3" i="163"/>
  <c r="B3" i="163"/>
  <c r="C3" i="162"/>
  <c r="B3" i="162"/>
  <c r="C3" i="161"/>
  <c r="B3" i="161"/>
  <c r="C3" i="160"/>
  <c r="B3" i="160"/>
  <c r="B3" i="219" l="1"/>
  <c r="B3" i="218"/>
  <c r="B3" i="216"/>
  <c r="B3" i="217"/>
  <c r="B3" i="215"/>
  <c r="B3" i="212"/>
  <c r="B3" i="214"/>
  <c r="B3" i="213"/>
  <c r="B3" i="209"/>
  <c r="B3" i="206"/>
  <c r="B3" i="211"/>
  <c r="B3" i="208"/>
  <c r="B3" i="188"/>
  <c r="B3" i="210"/>
  <c r="B3" i="207"/>
  <c r="B3" i="199"/>
  <c r="B3" i="202"/>
  <c r="B3" i="196"/>
  <c r="B3" i="205"/>
  <c r="B3" i="201"/>
  <c r="B3" i="198"/>
  <c r="B3" i="194"/>
  <c r="B3" i="191"/>
  <c r="B3" i="189"/>
  <c r="B3" i="204"/>
  <c r="B3" i="203"/>
  <c r="B3" i="192"/>
  <c r="B3" i="190"/>
  <c r="B3" i="197"/>
  <c r="B3" i="200"/>
  <c r="B3" i="193"/>
  <c r="B3" i="195"/>
  <c r="B3" i="187"/>
  <c r="C3" i="159"/>
  <c r="B3" i="159"/>
  <c r="C3" i="158"/>
  <c r="B3" i="158"/>
  <c r="C3" i="157"/>
  <c r="B3" i="157"/>
  <c r="C3" i="156"/>
  <c r="B3" i="156"/>
  <c r="C3" i="155"/>
  <c r="B3" i="155"/>
  <c r="C3" i="154"/>
  <c r="B3" i="154"/>
  <c r="C3" i="153"/>
  <c r="B3" i="153"/>
  <c r="C3" i="152"/>
  <c r="B3" i="152"/>
  <c r="C3" i="151"/>
  <c r="B3" i="151"/>
  <c r="C3" i="150"/>
  <c r="B3" i="150"/>
  <c r="C3" i="149"/>
  <c r="B3" i="149"/>
  <c r="C3" i="148"/>
  <c r="B3" i="148"/>
  <c r="C3" i="147"/>
  <c r="B3" i="147"/>
  <c r="C3" i="146"/>
  <c r="B3" i="146"/>
  <c r="C3" i="145"/>
  <c r="B3" i="145"/>
  <c r="C3" i="144"/>
  <c r="B3" i="144"/>
  <c r="C3" i="143"/>
  <c r="B3" i="143"/>
  <c r="C3" i="142"/>
  <c r="B3" i="142"/>
  <c r="C3" i="141"/>
  <c r="B3" i="141"/>
  <c r="C3" i="140"/>
  <c r="B3" i="140"/>
  <c r="C3" i="139"/>
  <c r="B3" i="139"/>
  <c r="C3" i="138"/>
  <c r="B3" i="138"/>
  <c r="C3" i="137"/>
  <c r="B3" i="137"/>
  <c r="C3" i="136"/>
  <c r="B3" i="136"/>
  <c r="C3" i="135"/>
  <c r="B3" i="135"/>
  <c r="C3" i="134"/>
  <c r="B3" i="134"/>
  <c r="C3" i="133"/>
  <c r="B3" i="133"/>
  <c r="C3" i="132" l="1"/>
  <c r="B3" i="132"/>
  <c r="C3" i="131" l="1"/>
  <c r="B3" i="131"/>
  <c r="C3" i="130" l="1"/>
  <c r="B3" i="130"/>
  <c r="C3" i="129"/>
  <c r="B3" i="129"/>
  <c r="C3" i="128"/>
  <c r="B3" i="128"/>
  <c r="C3" i="127"/>
  <c r="B3" i="127"/>
  <c r="C3" i="126"/>
  <c r="B3" i="126"/>
  <c r="C3" i="125"/>
  <c r="B3" i="125"/>
  <c r="C3" i="124"/>
  <c r="B3" i="124"/>
  <c r="C3" i="123"/>
  <c r="B3" i="123"/>
  <c r="C3" i="122"/>
  <c r="B3" i="122"/>
  <c r="C3" i="121"/>
  <c r="B3" i="121"/>
  <c r="C3" i="120"/>
  <c r="B3" i="120"/>
  <c r="C3" i="119"/>
  <c r="B3" i="119"/>
  <c r="C3" i="118" l="1"/>
  <c r="B3" i="118"/>
  <c r="C3" i="117" l="1"/>
  <c r="B3" i="117"/>
  <c r="C3" i="116" l="1"/>
  <c r="B3" i="116"/>
  <c r="C3" i="115" l="1"/>
  <c r="B3" i="115"/>
  <c r="C3" i="114" l="1"/>
  <c r="B3" i="114"/>
  <c r="C3" i="113" l="1"/>
  <c r="B3" i="113"/>
  <c r="C3" i="112" l="1"/>
  <c r="B3" i="112"/>
  <c r="C3" i="111" l="1"/>
  <c r="B3" i="111"/>
  <c r="C3" i="110" l="1"/>
  <c r="B3" i="110"/>
  <c r="C3" i="109" l="1"/>
  <c r="B3" i="109"/>
  <c r="C3" i="108" l="1"/>
  <c r="B3" i="108"/>
  <c r="C3" i="107" l="1"/>
  <c r="B3" i="107"/>
  <c r="C3" i="106" l="1"/>
  <c r="B3" i="106"/>
  <c r="C3" i="105" l="1"/>
  <c r="B3" i="105"/>
  <c r="C3" i="104" l="1"/>
  <c r="B3" i="104"/>
  <c r="C3" i="103" l="1"/>
  <c r="B3" i="103"/>
  <c r="C3" i="102" l="1"/>
  <c r="B3" i="102"/>
  <c r="C3" i="101" l="1"/>
  <c r="B3" i="101"/>
  <c r="C3" i="100" l="1"/>
  <c r="B3" i="100"/>
  <c r="C3" i="99" l="1"/>
  <c r="B3" i="99"/>
  <c r="C3" i="98"/>
  <c r="B3" i="98"/>
  <c r="C3" i="97"/>
  <c r="B3" i="97"/>
  <c r="C3" i="96"/>
  <c r="B3" i="96"/>
  <c r="C3" i="95"/>
  <c r="B3" i="95"/>
  <c r="C3" i="94"/>
  <c r="B3" i="94"/>
  <c r="C3" i="93"/>
  <c r="B3" i="93"/>
  <c r="C3" i="92"/>
  <c r="B3" i="92"/>
  <c r="C3" i="91"/>
  <c r="B3" i="91"/>
  <c r="C3" i="90"/>
  <c r="B3" i="90"/>
  <c r="C3" i="89"/>
  <c r="B3" i="89"/>
  <c r="C3" i="88"/>
  <c r="B3" i="88"/>
  <c r="C3" i="87"/>
  <c r="B3" i="87"/>
  <c r="C3" i="86"/>
  <c r="B3" i="86"/>
  <c r="C3" i="85"/>
  <c r="B3" i="85"/>
  <c r="C3" i="84"/>
  <c r="B3" i="84"/>
  <c r="C3" i="83"/>
  <c r="B3" i="83"/>
  <c r="C3" i="82"/>
  <c r="B3" i="82"/>
  <c r="C3" i="81"/>
  <c r="B3" i="81"/>
  <c r="C3" i="80"/>
  <c r="B3" i="80"/>
  <c r="C3" i="79"/>
  <c r="B3" i="79"/>
  <c r="C3" i="78"/>
  <c r="B3" i="78"/>
  <c r="C3" i="77"/>
  <c r="B3" i="77"/>
  <c r="C3" i="76"/>
  <c r="B3" i="76"/>
  <c r="C3" i="75"/>
  <c r="B3" i="75"/>
  <c r="C3" i="74"/>
  <c r="B3" i="74"/>
  <c r="C3" i="73"/>
  <c r="B3" i="73"/>
  <c r="C3" i="72"/>
  <c r="B3" i="72"/>
  <c r="C3" i="71"/>
  <c r="B3" i="71"/>
  <c r="C3" i="70"/>
  <c r="B3" i="70"/>
  <c r="C3" i="69"/>
  <c r="B3" i="69"/>
  <c r="C3" i="68"/>
  <c r="B3" i="68"/>
  <c r="C3" i="67"/>
  <c r="B3" i="67"/>
  <c r="C3" i="66"/>
  <c r="B3" i="66"/>
  <c r="C3" i="65"/>
  <c r="B3" i="65"/>
  <c r="C3" i="64"/>
  <c r="B3" i="64"/>
  <c r="C3" i="63"/>
  <c r="B3" i="63"/>
  <c r="C3" i="62"/>
  <c r="B3" i="62"/>
  <c r="C3" i="61"/>
  <c r="B3" i="61"/>
  <c r="C3" i="60"/>
  <c r="B3" i="60"/>
  <c r="C3" i="59"/>
  <c r="B3" i="59"/>
  <c r="C3" i="58"/>
  <c r="B3" i="58"/>
  <c r="C3" i="57"/>
  <c r="B3" i="57"/>
  <c r="C3" i="56"/>
  <c r="B3" i="56"/>
  <c r="C3" i="55"/>
  <c r="B3" i="55"/>
  <c r="C3" i="54"/>
  <c r="B3" i="54"/>
  <c r="C3" i="53"/>
  <c r="B3" i="53"/>
  <c r="C3" i="52"/>
  <c r="B3" i="52"/>
  <c r="C3" i="51"/>
  <c r="B3" i="51"/>
  <c r="C3" i="50"/>
  <c r="B3" i="50"/>
  <c r="C3" i="49"/>
  <c r="B3" i="49"/>
  <c r="C3" i="48"/>
  <c r="B3" i="48"/>
  <c r="C3" i="47"/>
  <c r="B3" i="47"/>
  <c r="C3" i="46"/>
  <c r="B3" i="46"/>
  <c r="C3" i="45"/>
  <c r="B3" i="45"/>
  <c r="C3" i="44"/>
  <c r="B3" i="44"/>
  <c r="C3" i="43"/>
  <c r="B3" i="43"/>
  <c r="C3" i="42"/>
  <c r="B3" i="42"/>
  <c r="C3" i="41"/>
  <c r="B3" i="41"/>
  <c r="C3" i="40"/>
  <c r="B3" i="40"/>
  <c r="C3" i="39"/>
  <c r="B3" i="39"/>
  <c r="C3" i="38"/>
  <c r="B3" i="38"/>
  <c r="C3" i="37"/>
  <c r="B3" i="37"/>
  <c r="C3" i="36"/>
  <c r="B3" i="36"/>
  <c r="C3" i="35"/>
  <c r="B3" i="35"/>
  <c r="C3" i="34"/>
  <c r="B3" i="34"/>
  <c r="C3" i="33"/>
  <c r="B3" i="33"/>
  <c r="C3" i="32"/>
  <c r="B3" i="32"/>
  <c r="C3" i="31"/>
  <c r="B3" i="31"/>
  <c r="C3" i="30"/>
  <c r="B3" i="30"/>
  <c r="C3" i="29"/>
  <c r="B3" i="29"/>
  <c r="C3" i="28"/>
  <c r="B3" i="28"/>
  <c r="C3" i="27"/>
  <c r="B3" i="27"/>
  <c r="C3" i="26"/>
  <c r="B3" i="26"/>
  <c r="C3" i="25"/>
  <c r="B3" i="25"/>
  <c r="C3" i="24"/>
  <c r="B3" i="24"/>
  <c r="C3" i="23"/>
  <c r="B3" i="23"/>
  <c r="C3" i="22"/>
  <c r="B3" i="22"/>
  <c r="C3" i="21"/>
  <c r="B3" i="21"/>
  <c r="C3" i="20"/>
  <c r="B3" i="20"/>
  <c r="C3" i="19"/>
  <c r="B3" i="19"/>
  <c r="C3" i="18"/>
  <c r="B3" i="18"/>
  <c r="C3" i="17"/>
  <c r="B3" i="17"/>
  <c r="C3" i="16"/>
  <c r="B3" i="16"/>
  <c r="C3" i="15"/>
  <c r="B3" i="15"/>
  <c r="C3" i="14"/>
  <c r="B3" i="14"/>
  <c r="C3" i="13"/>
  <c r="B3" i="13"/>
  <c r="C3" i="12"/>
  <c r="B3" i="12"/>
  <c r="C3" i="11"/>
  <c r="B3" i="11"/>
  <c r="C3" i="10"/>
  <c r="B3" i="10"/>
  <c r="C3" i="9"/>
  <c r="B3" i="9"/>
  <c r="C3" i="8"/>
  <c r="B3" i="8"/>
  <c r="B3" i="7"/>
  <c r="C3" i="7"/>
  <c r="C3" i="6"/>
  <c r="B3" i="6"/>
  <c r="C3" i="5"/>
  <c r="B3" i="5"/>
  <c r="C3" i="3"/>
  <c r="B3" i="3"/>
</calcChain>
</file>

<file path=xl/sharedStrings.xml><?xml version="1.0" encoding="utf-8"?>
<sst xmlns="http://schemas.openxmlformats.org/spreadsheetml/2006/main" count="5346" uniqueCount="542">
  <si>
    <t>Total ICU</t>
  </si>
  <si>
    <t>Total Hospital</t>
  </si>
  <si>
    <t>BC</t>
  </si>
  <si>
    <t>AB</t>
  </si>
  <si>
    <t>ON</t>
  </si>
  <si>
    <t>QC</t>
  </si>
  <si>
    <t>NS</t>
  </si>
  <si>
    <t>NB</t>
  </si>
  <si>
    <t>MB</t>
  </si>
  <si>
    <t>PEI</t>
  </si>
  <si>
    <t>SK</t>
  </si>
  <si>
    <t>NL</t>
  </si>
  <si>
    <t>NT</t>
  </si>
  <si>
    <t>YT</t>
  </si>
  <si>
    <t>NU</t>
  </si>
  <si>
    <t>Last Data Update 2020-04-13 16:30 EST</t>
  </si>
  <si>
    <t>Last Data Update 2020-04-16 10:00 EST</t>
  </si>
  <si>
    <t>Last Data Update 2020-04-20 12:00 EST</t>
  </si>
  <si>
    <t>Last Data Update 2020-04-22 10:00 EST</t>
  </si>
  <si>
    <t>Last Data Update 2020-04-24 10:30 EST</t>
  </si>
  <si>
    <t>Last Data Update 2020-04-27 12:50 EST</t>
  </si>
  <si>
    <t>Last Data Update 2020-04-29 12:00 EST</t>
  </si>
  <si>
    <t>Last Data Update 2020-05-04 12:30 EST</t>
  </si>
  <si>
    <t>Last Data Update 2020-05-01 14:30 EST</t>
  </si>
  <si>
    <t>Last Data Update 2020-05-06 11:30 EST</t>
  </si>
  <si>
    <t>Last Data Update 2020-05-11 11:30 EST</t>
  </si>
  <si>
    <t>Last Data Update 2020-05-13 12:00 EST</t>
  </si>
  <si>
    <t>Last Data Update 2020-05-15 11:40 EST</t>
  </si>
  <si>
    <t>Last Data Update 2020-05-19 11:30 EST</t>
  </si>
  <si>
    <t>Last Data Update 2020-05-21 11:00 EST</t>
  </si>
  <si>
    <t>Last Data Update 2020-05-25 11:30 EST</t>
  </si>
  <si>
    <t>Last Data Update 2020-05-27 1:00 EST</t>
  </si>
  <si>
    <t>Last Data Update 2020-05-29 12:00 EST</t>
  </si>
  <si>
    <t>Last Data Update 2020-06-01 11:40 EST</t>
  </si>
  <si>
    <t>Last Data Update 2020-06-03 12:30 EST</t>
  </si>
  <si>
    <t>Last Data Update 2020-06-05 12:30 EST</t>
  </si>
  <si>
    <t>AB*</t>
  </si>
  <si>
    <t>* Please note, as of now, the Government of Alberta's last update on COVID-19 statistics was made on June 6, 2020 at 4 PM</t>
  </si>
  <si>
    <t>Last Data Update 2020-06-08 11:30 EST</t>
  </si>
  <si>
    <t>Last Data Update 2020-06-10 2:15 EST</t>
  </si>
  <si>
    <t>Last Data Update 2020-06-12 10:50 EST</t>
  </si>
  <si>
    <t>Last Data Update 2020-06-15 1:00 EST</t>
  </si>
  <si>
    <t>Last Data Update 2020-06-17 12:15 EST</t>
  </si>
  <si>
    <t>Last Data Update 2020-06-19 11:00 EST</t>
  </si>
  <si>
    <t>Last Data Update 2020-06-22 12:15 EST</t>
  </si>
  <si>
    <t>BC*</t>
  </si>
  <si>
    <t>* Please note, as of now, the Government of British Columbia's latest COVID-19 update was made on June 19, 2020 at 3:18 PM</t>
  </si>
  <si>
    <t>Last Data Update 2020-06-24 11:25 EST</t>
  </si>
  <si>
    <t>Last Data Update 2020-06-26 12:50 EST</t>
  </si>
  <si>
    <t>Last Data Update 2020-06-29 1:00 EST</t>
  </si>
  <si>
    <t>* Please note, as of now, the Government of British Columbia's latest COVID-19 update was made on June 26, 2020 at 2:40 PM</t>
  </si>
  <si>
    <t>YT***</t>
  </si>
  <si>
    <t>NT**</t>
  </si>
  <si>
    <t>*** Please note, as of now, the Government of Yukon's latest COVID-19 update was made on June 26, 2020 at 2:30 PM</t>
  </si>
  <si>
    <t>** Please note, as of now, the Government of the Northwest Territories' latest COVID-19 update was made on June 26, 2020 at 9:00 AM</t>
  </si>
  <si>
    <t xml:space="preserve">Notes </t>
  </si>
  <si>
    <r>
      <t>BC</t>
    </r>
    <r>
      <rPr>
        <b/>
        <vertAlign val="superscript"/>
        <sz val="11"/>
        <color theme="1"/>
        <rFont val="Calibri"/>
        <family val="2"/>
        <scheme val="minor"/>
      </rPr>
      <t>1</t>
    </r>
  </si>
  <si>
    <r>
      <t>AB</t>
    </r>
    <r>
      <rPr>
        <b/>
        <i/>
        <vertAlign val="superscript"/>
        <sz val="11"/>
        <color theme="1"/>
        <rFont val="Calibri"/>
        <family val="2"/>
        <scheme val="minor"/>
      </rPr>
      <t>2*</t>
    </r>
  </si>
  <si>
    <t>* There is a slight discrepancy in "hospitalization" and "ICU" statistics between the Government of Alberta's July 2, 2020 media release (44 Hosp, 8 ICU) and interactive aggregate data page (42 Hosp, 9 ICU)</t>
  </si>
  <si>
    <r>
      <rPr>
        <vertAlign val="superscript"/>
        <sz val="11"/>
        <color theme="1"/>
        <rFont val="Calibri"/>
        <family val="2"/>
        <scheme val="minor"/>
      </rPr>
      <t xml:space="preserve">1 </t>
    </r>
    <r>
      <rPr>
        <sz val="11"/>
        <color theme="1"/>
        <rFont val="Calibri"/>
        <family val="2"/>
        <scheme val="minor"/>
      </rPr>
      <t>The Government of British Columbia's latest update was made on July 3, 2020 at 3:45 PM</t>
    </r>
  </si>
  <si>
    <r>
      <rPr>
        <vertAlign val="superscript"/>
        <sz val="11"/>
        <color theme="1"/>
        <rFont val="Calibri"/>
        <family val="2"/>
        <scheme val="minor"/>
      </rPr>
      <t>2</t>
    </r>
    <r>
      <rPr>
        <sz val="11"/>
        <color theme="1"/>
        <rFont val="Calibri"/>
        <family val="2"/>
        <scheme val="minor"/>
      </rPr>
      <t xml:space="preserve"> The Government of Alberta's latest update was made on July 2 at 4:30 PM</t>
    </r>
  </si>
  <si>
    <r>
      <rPr>
        <vertAlign val="superscript"/>
        <sz val="11"/>
        <color theme="1"/>
        <rFont val="Calibri"/>
        <family val="2"/>
        <scheme val="minor"/>
      </rPr>
      <t>3</t>
    </r>
    <r>
      <rPr>
        <sz val="11"/>
        <color theme="1"/>
        <rFont val="Calibri"/>
        <family val="2"/>
        <scheme val="minor"/>
      </rPr>
      <t xml:space="preserve"> The Government of Quebec's latest update was made on July 4, 2020 at 4 PM</t>
    </r>
  </si>
  <si>
    <r>
      <rPr>
        <vertAlign val="superscript"/>
        <sz val="11"/>
        <color theme="1"/>
        <rFont val="Calibri"/>
        <family val="2"/>
        <scheme val="minor"/>
      </rPr>
      <t>4</t>
    </r>
    <r>
      <rPr>
        <sz val="11"/>
        <color theme="1"/>
        <rFont val="Calibri"/>
        <family val="2"/>
        <scheme val="minor"/>
      </rPr>
      <t xml:space="preserve"> The Government of New Brunswick's latest update was made on July 5, 2020</t>
    </r>
  </si>
  <si>
    <r>
      <rPr>
        <vertAlign val="superscript"/>
        <sz val="11"/>
        <color theme="1"/>
        <rFont val="Calibri"/>
        <family val="2"/>
        <scheme val="minor"/>
      </rPr>
      <t>5</t>
    </r>
    <r>
      <rPr>
        <sz val="11"/>
        <color theme="1"/>
        <rFont val="Calibri"/>
        <family val="2"/>
        <scheme val="minor"/>
      </rPr>
      <t xml:space="preserve"> The Government of Manitoba's latest update was made on July 3, 2020 at 9:30 AM</t>
    </r>
  </si>
  <si>
    <r>
      <rPr>
        <vertAlign val="superscript"/>
        <sz val="11"/>
        <color theme="1"/>
        <rFont val="Calibri"/>
        <family val="2"/>
        <scheme val="minor"/>
      </rPr>
      <t>6</t>
    </r>
    <r>
      <rPr>
        <sz val="11"/>
        <color theme="1"/>
        <rFont val="Calibri"/>
        <family val="2"/>
        <scheme val="minor"/>
      </rPr>
      <t xml:space="preserve"> The Government of Prince Edward Island's latest update was made on July 5, 2020</t>
    </r>
  </si>
  <si>
    <r>
      <rPr>
        <vertAlign val="superscript"/>
        <sz val="11"/>
        <color theme="1"/>
        <rFont val="Calibri"/>
        <family val="2"/>
        <scheme val="minor"/>
      </rPr>
      <t>7</t>
    </r>
    <r>
      <rPr>
        <sz val="11"/>
        <color theme="1"/>
        <rFont val="Calibri"/>
        <family val="2"/>
        <scheme val="minor"/>
      </rPr>
      <t xml:space="preserve"> The Government of Saskatchewan's latest update was made on July 3, 2020</t>
    </r>
  </si>
  <si>
    <r>
      <rPr>
        <vertAlign val="superscript"/>
        <sz val="11"/>
        <color theme="1"/>
        <rFont val="Calibri"/>
        <family val="2"/>
        <scheme val="minor"/>
      </rPr>
      <t>8</t>
    </r>
    <r>
      <rPr>
        <sz val="11"/>
        <color theme="1"/>
        <rFont val="Calibri"/>
        <family val="2"/>
        <scheme val="minor"/>
      </rPr>
      <t xml:space="preserve"> The Government of Northwest Territories' latest update was made on July 3, 2020 at 9 AM</t>
    </r>
  </si>
  <si>
    <r>
      <rPr>
        <vertAlign val="superscript"/>
        <sz val="11"/>
        <color theme="1"/>
        <rFont val="Calibri"/>
        <family val="2"/>
        <scheme val="minor"/>
      </rPr>
      <t>9</t>
    </r>
    <r>
      <rPr>
        <sz val="11"/>
        <color theme="1"/>
        <rFont val="Calibri"/>
        <family val="2"/>
        <scheme val="minor"/>
      </rPr>
      <t xml:space="preserve"> The Government of Yukon's latest COVID-19 case count was on June 17, at 2 PM</t>
    </r>
  </si>
  <si>
    <r>
      <rPr>
        <vertAlign val="superscript"/>
        <sz val="11"/>
        <color theme="1"/>
        <rFont val="Calibri"/>
        <family val="2"/>
        <scheme val="minor"/>
      </rPr>
      <t>10</t>
    </r>
    <r>
      <rPr>
        <sz val="11"/>
        <color theme="1"/>
        <rFont val="Calibri"/>
        <family val="2"/>
        <scheme val="minor"/>
      </rPr>
      <t xml:space="preserve"> The Government of Nunavut's latest update was made on July 3, 2020</t>
    </r>
  </si>
  <si>
    <r>
      <t>NU</t>
    </r>
    <r>
      <rPr>
        <b/>
        <vertAlign val="superscript"/>
        <sz val="11"/>
        <color theme="1"/>
        <rFont val="Calibri"/>
        <family val="2"/>
        <scheme val="minor"/>
      </rPr>
      <t>10</t>
    </r>
  </si>
  <si>
    <r>
      <t>YT</t>
    </r>
    <r>
      <rPr>
        <b/>
        <vertAlign val="superscript"/>
        <sz val="11"/>
        <color theme="1"/>
        <rFont val="Calibri"/>
        <family val="2"/>
        <scheme val="minor"/>
      </rPr>
      <t>9</t>
    </r>
  </si>
  <si>
    <r>
      <t>NT</t>
    </r>
    <r>
      <rPr>
        <b/>
        <vertAlign val="superscript"/>
        <sz val="11"/>
        <color theme="1"/>
        <rFont val="Calibri"/>
        <family val="2"/>
        <scheme val="minor"/>
      </rPr>
      <t>8</t>
    </r>
  </si>
  <si>
    <r>
      <t>SK</t>
    </r>
    <r>
      <rPr>
        <b/>
        <vertAlign val="superscript"/>
        <sz val="11"/>
        <color theme="1"/>
        <rFont val="Calibri"/>
        <family val="2"/>
        <scheme val="minor"/>
      </rPr>
      <t>7</t>
    </r>
  </si>
  <si>
    <r>
      <t>PEI</t>
    </r>
    <r>
      <rPr>
        <b/>
        <vertAlign val="superscript"/>
        <sz val="11"/>
        <color theme="1"/>
        <rFont val="Calibri"/>
        <family val="2"/>
        <scheme val="minor"/>
      </rPr>
      <t>6</t>
    </r>
  </si>
  <si>
    <r>
      <t>MB</t>
    </r>
    <r>
      <rPr>
        <b/>
        <vertAlign val="superscript"/>
        <sz val="11"/>
        <color theme="1"/>
        <rFont val="Calibri"/>
        <family val="2"/>
        <scheme val="minor"/>
      </rPr>
      <t>5</t>
    </r>
  </si>
  <si>
    <r>
      <t>NB</t>
    </r>
    <r>
      <rPr>
        <b/>
        <vertAlign val="superscript"/>
        <sz val="11"/>
        <color theme="1"/>
        <rFont val="Calibri"/>
        <family val="2"/>
        <scheme val="minor"/>
      </rPr>
      <t>4</t>
    </r>
  </si>
  <si>
    <r>
      <t>QC</t>
    </r>
    <r>
      <rPr>
        <b/>
        <vertAlign val="superscript"/>
        <sz val="11"/>
        <color theme="1"/>
        <rFont val="Calibri"/>
        <family val="2"/>
        <scheme val="minor"/>
      </rPr>
      <t>3</t>
    </r>
  </si>
  <si>
    <t>Last Data Update 2020-07-06 1:00 EST</t>
  </si>
  <si>
    <t>Last Data Update 2020-07-08 12:20 EST</t>
  </si>
  <si>
    <t>Last Data Update 2020-07-10 1:20 EST</t>
  </si>
  <si>
    <t>Last Data Update 2020-07-13 1:35 EST</t>
  </si>
  <si>
    <t>Last Data Update 2020-07-15 12:00 EST</t>
  </si>
  <si>
    <t>Last Data Update 2020-07-17 12:35 EST</t>
  </si>
  <si>
    <t>Last Data Update 2020-07-20 1:00 EST</t>
  </si>
  <si>
    <t>Last Data Update 2020-07-22 2:30 EST</t>
  </si>
  <si>
    <t>Last Data Update 2020-07-24 11:30 EST</t>
  </si>
  <si>
    <t>Last Data Update 2020-07-27 1:20 EST</t>
  </si>
  <si>
    <t>Last Data Update 2020-07-29 1:45 EST</t>
  </si>
  <si>
    <t>Last Data Update 2020-08-04 3:05 EST</t>
  </si>
  <si>
    <t>Last Data Update 2020-08-05 12:30 EST</t>
  </si>
  <si>
    <t>Last Data Update 2020-08-07 9:25 EST</t>
  </si>
  <si>
    <t>Last Data Update 2020-08-10 1:00 EST</t>
  </si>
  <si>
    <t>Last Data Update 2020-08-12 12:55 EST</t>
  </si>
  <si>
    <t>Last Data Update 2020-08-14 11:55 EST</t>
  </si>
  <si>
    <t>Last Data Update 2020-08-17 10:45 EST</t>
  </si>
  <si>
    <t>Last Data Update 2020-08-19 11:20 EST</t>
  </si>
  <si>
    <t>Last Data Update 2020-08-21 10:30 EST</t>
  </si>
  <si>
    <t>Last Data Update 2020-08-24 10:30 EST</t>
  </si>
  <si>
    <t>Last Data Update 2020-08-26 2:30 EST</t>
  </si>
  <si>
    <t>Last Data Update 2020-08-28 11:00 EST</t>
  </si>
  <si>
    <t>Last Data Update 2020-08-31 2:00 EST</t>
  </si>
  <si>
    <t>Last Data Update 2020-09-02 12:00 EST</t>
  </si>
  <si>
    <t>Last Data Update 2020-09-04 10:00 EST</t>
  </si>
  <si>
    <t>Last Data Update 2020-09-08 11:00 EST</t>
  </si>
  <si>
    <t>Last Data Update 2020-09-10 2:00 EST</t>
  </si>
  <si>
    <t>Last Data Update 2020-09-11 11:00 EST</t>
  </si>
  <si>
    <t>Last Data Update 2020-09-14 12:00 EST</t>
  </si>
  <si>
    <t>Last Data Update 2020-09-16 2:30 EST</t>
  </si>
  <si>
    <t>Last Data Update 2020-09-18 2:00 EST</t>
  </si>
  <si>
    <t>Last Data Update 2020-09-21 11:00 EST</t>
  </si>
  <si>
    <t>Last Data Update 2020-09-23 1:00 EST</t>
  </si>
  <si>
    <t>Last Data Update 2020-09-25 11:00 EST</t>
  </si>
  <si>
    <t>Last Data Update 2020-09-28 11:00 EST</t>
  </si>
  <si>
    <t>Last Data Update 2020-09-30 11:00 EST</t>
  </si>
  <si>
    <t>Last Data Update 2020-10-02 1:30 EST</t>
  </si>
  <si>
    <t>Last Data Update 2020-10-05 11:00 EST</t>
  </si>
  <si>
    <t>Last Data Update 2020-10-07 2:00 EST</t>
  </si>
  <si>
    <t>Last Data Update 2020-10-09 11:00 EST</t>
  </si>
  <si>
    <t>Last Data Update 2020-10-13 11:00 EST</t>
  </si>
  <si>
    <t>Last Data Update 2020-10-15 11:00 EST</t>
  </si>
  <si>
    <t>Last Data Update 2020-10-19 11:00 EST</t>
  </si>
  <si>
    <t>Last Data Update 2020-10-21 11:00 EST</t>
  </si>
  <si>
    <t>* N.B.: Total ICU numbers are a part of the the Total Hospital numbers.</t>
  </si>
  <si>
    <t>Last Data Update 2020-10-23 11:00 EST</t>
  </si>
  <si>
    <t>Last Data Update 2020-10-26 11:00 EST</t>
  </si>
  <si>
    <t>Last Data Update 2020-10-28 2:00 EST</t>
  </si>
  <si>
    <t>Last Data Update 2020-10-30 11:00 EST</t>
  </si>
  <si>
    <t>Last Data Update 2020-11-02 11:00 EST</t>
  </si>
  <si>
    <t>Last Data Update 2020-11-04 11:00 EST</t>
  </si>
  <si>
    <t>Last Data Update 2020-11-06 11:00 EST</t>
  </si>
  <si>
    <t>Last Data Update 2020-11-09 2:00 EST</t>
  </si>
  <si>
    <t>Last Data Update 2020-11-11 11:00 EST</t>
  </si>
  <si>
    <t>Last Data Update 2020-11-13 11:00 EST</t>
  </si>
  <si>
    <t>Last Data Update 2020-11-16 11:00 EST</t>
  </si>
  <si>
    <t>Last Data Update 2020-11-18 11:00 EST</t>
  </si>
  <si>
    <t>Last Data Update 2020-11-20 11:00 EST</t>
  </si>
  <si>
    <t>Last Data Update 2020-11-23 11:00 EST</t>
  </si>
  <si>
    <t>Last Data Update 2020-11-25 1:00 EST</t>
  </si>
  <si>
    <t>Last Data Update 2020-11-27 4:00 EST</t>
  </si>
  <si>
    <t>Last Data Update 2020-11-30 3:00 EST</t>
  </si>
  <si>
    <t>Last Data Update 2020-12-02  3:00 EST</t>
  </si>
  <si>
    <t>Last Data Update 2020-12-07  1:00 EST</t>
  </si>
  <si>
    <t>Last Data Update 2020-12-09  2:00 EST</t>
  </si>
  <si>
    <t>Last Data Update 2020-12-11  10:00 EST</t>
  </si>
  <si>
    <t>Last Data Update 2020-12-14  11:30 EST</t>
  </si>
  <si>
    <t>Last Data Update 2020-12-16  11:00 EST</t>
  </si>
  <si>
    <t>Last Data Update 2020-12-18  11:00 EST</t>
  </si>
  <si>
    <t>Last Data Update 2020-12-21  1:30 EST</t>
  </si>
  <si>
    <t>Last Data Update 2020-12-23  12:00 EST</t>
  </si>
  <si>
    <t>Last Data Update 2021-01-04  11:00 EST</t>
  </si>
  <si>
    <t>Last Data Update 2021-01-06  11:00 EST</t>
  </si>
  <si>
    <t>Last Data Update 2021-01-08  11:00 EST</t>
  </si>
  <si>
    <t>Last Data Update 2021-01-11  11:00 EST</t>
  </si>
  <si>
    <t>Last Data Update 2021-01-13  11:00 EST</t>
  </si>
  <si>
    <t>Last Data Update 2021-01-18  11:00 EST</t>
  </si>
  <si>
    <t>Last Data Update 2021-01-20  11:00 EST</t>
  </si>
  <si>
    <t>Last Data Update 2021-01-22  11:00 EST</t>
  </si>
  <si>
    <t>Last Data Update 2021-01-25  11:00 EST</t>
  </si>
  <si>
    <t>Last Data Update 2021-01-27  2:00 EST</t>
  </si>
  <si>
    <t>Last Data Update 2021-01-29  3:00 EST</t>
  </si>
  <si>
    <t>Last Data Update 2021-02-01  4:00 EST</t>
  </si>
  <si>
    <t>Last Data Update 2021-02-03  1:00 EST</t>
  </si>
  <si>
    <t>Last Data Update 2021-02-05 11:00 EST</t>
  </si>
  <si>
    <t>Last Data Update 2021-02-08 4:00 EST</t>
  </si>
  <si>
    <t>Last Data Update 2021-02-10 4:00 EST</t>
  </si>
  <si>
    <t>Last Data Update 2021-02-12 2:30 EST</t>
  </si>
  <si>
    <t>Last Data Update 2021-02-16 4:30 EST</t>
  </si>
  <si>
    <t>Last Data Update 2021-02-18 4:30 EST</t>
  </si>
  <si>
    <t>Last Data Update 2021-02-22 9:30 EST</t>
  </si>
  <si>
    <t>Last Data Update 2021-02-24 1:00 EST</t>
  </si>
  <si>
    <t>Last Data Update 2021-02-26 3:00 EST</t>
  </si>
  <si>
    <t>Last Data Update 2021-03-01 12:00 EST</t>
  </si>
  <si>
    <t>Last Data Update 2021-03-03 10:00 EST</t>
  </si>
  <si>
    <t>Last Data Update 2021-03-05 4:00 EST</t>
  </si>
  <si>
    <t>Last Data Update 2021-03-12 5:00 EST</t>
  </si>
  <si>
    <t>Last Data Update 2021-03-15 5:00 EST</t>
  </si>
  <si>
    <t>Last Data Update 2021-03-17 4:30 EST</t>
  </si>
  <si>
    <t>Last Data Update 2021-03-19 1:30 EST</t>
  </si>
  <si>
    <t>Last Data Update 2021-03-22 2:00 EST</t>
  </si>
  <si>
    <t>Last Data Update 2021-03-24 1:30 EST</t>
  </si>
  <si>
    <t>Last Data Update 2021-03-26 2:00 EST</t>
  </si>
  <si>
    <t>Last Data Update 2021-03-29 2:00 PM EST</t>
  </si>
  <si>
    <t>Last Data Update 2021-03-31 2:00 PM EST</t>
  </si>
  <si>
    <t>Last Data Update 2021-04-05 11:30 AM EST</t>
  </si>
  <si>
    <t>Last Data Update 2021-04-07 1:30 AM EST</t>
  </si>
  <si>
    <t>Last Data Update 2021-04-09 10:30 AM EST</t>
  </si>
  <si>
    <t>Last Data Update 2021-04-12 11:15 AM EST</t>
  </si>
  <si>
    <t>Last Data Update 2021-04-14 2:30 PM EST</t>
  </si>
  <si>
    <t>Last Data Update 2021-04-16 12:00 PM EST</t>
  </si>
  <si>
    <t>Last Data Update 2021-04-21 10:30 AM EST</t>
  </si>
  <si>
    <t>Last Data Update 2021-04-19 1:30 PM EST</t>
  </si>
  <si>
    <t>Last Data Update 2021-04-23 12:00 PM EST</t>
  </si>
  <si>
    <t>Last Data Update 2021-04-26 1:45 PM EST</t>
  </si>
  <si>
    <t>Last Data Update 2021-04-28 1:45 PM EST</t>
  </si>
  <si>
    <t>Last Data Update 2021-04-30 11:15 AM EST</t>
  </si>
  <si>
    <t>Last Data Update 2021-05-03 1:15 PM EST</t>
  </si>
  <si>
    <t>Last Data Update 2021-05-05 2:15 PM EST</t>
  </si>
  <si>
    <t>Last Data Update 2021-05-07 1:15 PM EST</t>
  </si>
  <si>
    <t>Last Data Update 2021-05-10 11:45 AM EST</t>
  </si>
  <si>
    <t>Last Data Update 2021-05-12 3:35 PM EST</t>
  </si>
  <si>
    <t>Last Data Update 2021-05-14 3:15 PM EST</t>
  </si>
  <si>
    <t>Last Data Update 2021-05-17 1:30 PM EST</t>
  </si>
  <si>
    <t>Last Data Update 2021-05-19 3:45 PM EST</t>
  </si>
  <si>
    <t>Last Data Update 2021-05-21 12:30 PM EST</t>
  </si>
  <si>
    <t>Last Data Update 2021-05-25 11:00 AM EST</t>
  </si>
  <si>
    <t>Last Data Update 2021-05-27 1:15 PM EST</t>
  </si>
  <si>
    <t>Last Data Update 2021-05-31 1:15 PM EST</t>
  </si>
  <si>
    <t>Last Data Update 2021-06-02 11:15 AM EST</t>
  </si>
  <si>
    <t>Last Data Update 2021-06-04 11:45 AM EST</t>
  </si>
  <si>
    <t>Last Data Update 2021-06-07 4:30 PM EST</t>
  </si>
  <si>
    <t>Last Data Update 2021-06-09 4:30 PM EST</t>
  </si>
  <si>
    <t>Last Data Update 2021-06-11 10:30 AM EST</t>
  </si>
  <si>
    <t>Last Data Update 2021-06-14 1:45 PM EST</t>
  </si>
  <si>
    <t>Last Data Update 2021-06-16 11:15 AM EST</t>
  </si>
  <si>
    <t>Last Data Update 2021-06-18 12:15 PM EST</t>
  </si>
  <si>
    <t>Last Data Update 2021-06-21 11:45 AM EST</t>
  </si>
  <si>
    <t>Last Data Update 2021-06-23 4:45 PM EST</t>
  </si>
  <si>
    <t>Last Data Update 2021-06-25 11:15 AM EST</t>
  </si>
  <si>
    <t>Last Data Update 2021-06-28 2:30 PM EST</t>
  </si>
  <si>
    <t>Last Data Update 2021-06-30 11:45 AM EST</t>
  </si>
  <si>
    <t>Last Data Update 2021-07-05 1:30 PM EST</t>
  </si>
  <si>
    <t>Last Data Update 2021-07-07 12:00 PM EST</t>
  </si>
  <si>
    <t>Last Data Update 2021-07-09 11:45 AM EST</t>
  </si>
  <si>
    <t>Last Data Update 2021-07-12 2:45 PM EST</t>
  </si>
  <si>
    <t>Last Data Update 2021-07-14 1:45 PM EST</t>
  </si>
  <si>
    <t>Last Data Update 2021-07-16 11:15 AM EST</t>
  </si>
  <si>
    <t>Last Data Update 2021-07-19 2:15 PM EST</t>
  </si>
  <si>
    <t>Last Data Update 2021-07-21 4:15 PM EST</t>
  </si>
  <si>
    <t>Last Data Update 2021-07-23 10:15 AM EST</t>
  </si>
  <si>
    <t>Last Data Update 2021-07-26 1:30 PM EST</t>
  </si>
  <si>
    <t>Last Data Update 2021-07-28 1:30 PM EST</t>
  </si>
  <si>
    <t xml:space="preserve"> </t>
  </si>
  <si>
    <t>Last Data Update 2021-07-30 11:00 AM EST</t>
  </si>
  <si>
    <t>Last Data Update 2021-08-03 1:45 PM EST</t>
  </si>
  <si>
    <t>Last Data Update 2021-08-05 2:15 PM EST</t>
  </si>
  <si>
    <t>Last Data Update 2021-08-09 2:00 PM EST</t>
  </si>
  <si>
    <t>Last Data Update 2021-08-11 5:00 PM EST</t>
  </si>
  <si>
    <t>Last Data Update 2021-08-13 10:15 AM EST</t>
  </si>
  <si>
    <t>Last Data Update 2021-08-16 2:15 PM EST</t>
  </si>
  <si>
    <t>Last Data Update 2021-08-18 2:45 PM EST</t>
  </si>
  <si>
    <t>Last Data Update 2021-08-20 11:30 AM EST</t>
  </si>
  <si>
    <t>Last Data Update 2021-08-23 1:15 PM EST</t>
  </si>
  <si>
    <t>Last Data Update 2021-08-25 4:45 PM EST</t>
  </si>
  <si>
    <t>Last Data Update 2021-08-27 1:00 PM EST</t>
  </si>
  <si>
    <t>Last Data Update 2021-08-30 5:00 PM EST</t>
  </si>
  <si>
    <t>Last Data Update 2021-09-03 1:30 PM EST</t>
  </si>
  <si>
    <t>Last Data Update 2021-09-10 3:30 PM EST</t>
  </si>
  <si>
    <t>Last Data Update 2021-09-13 1:30 PM EST</t>
  </si>
  <si>
    <t>Last Data Update 2021-09-15 3:30 PM EST</t>
  </si>
  <si>
    <t>Last Data Update 2021-09-17 1:30 PM EST</t>
  </si>
  <si>
    <t>Last Data Update 2021-09-20 2:15 PM EST</t>
  </si>
  <si>
    <t>Last Data Update 2021-09-22 5:00 PM EST</t>
  </si>
  <si>
    <t>Last Data Update 2021-09-24 2:30 PM EST</t>
  </si>
  <si>
    <t>Last Data Update 2021-09-27 1:30 PM EST</t>
  </si>
  <si>
    <t>Last Data Update 2021-09-29 11:30 AM EST</t>
  </si>
  <si>
    <t>Last Data Update 2021-10-04 12:30 PM EST</t>
  </si>
  <si>
    <t>Last Data Update 2021-10-06 3:00 PM EST</t>
  </si>
  <si>
    <t>Last Data Update 2021-10-08 1:30 PM EST</t>
  </si>
  <si>
    <t>Last Data Update 2021-10-12 1:30 PM EST</t>
  </si>
  <si>
    <t>Last Data Update 2021-10-14 4:30 PM EST</t>
  </si>
  <si>
    <t>Last Data Update 2021-10-18 4:15 PM EST</t>
  </si>
  <si>
    <t>Last Data Update 2021-10-20 1:30 PM EST</t>
  </si>
  <si>
    <t>Last Data Update 2021-10-21 4:00 PM EST</t>
  </si>
  <si>
    <t>Last Data Update 2021-10-26 12:00 PM EST</t>
  </si>
  <si>
    <t>Last Data Update 2021-10-28 11:00 AM EST</t>
  </si>
  <si>
    <t>Last Data Update 2021-11-01 2:00 PM EST</t>
  </si>
  <si>
    <t>Last Data Update 2021-11-03 11:30 AM EST</t>
  </si>
  <si>
    <t>Last Data Update 2021-11-05 10:00 AM EST</t>
  </si>
  <si>
    <t>Last Data Update 2021-11-08 1:30 PM EST</t>
  </si>
  <si>
    <t>Last Data Update 2021-11-11 10:30 AM EST</t>
  </si>
  <si>
    <t>Last Data Update 2021-11-15 1:30 PM EST</t>
  </si>
  <si>
    <t>Last Data Update 2021-11-17 1:00 PM EST</t>
  </si>
  <si>
    <t>Last Data Update 2021-11-17 2:00 PM EST</t>
  </si>
  <si>
    <t>Last Data Update 2021-11-22 11:00 AM EST</t>
  </si>
  <si>
    <t>Last Data Update 2021-11-24 2:00 PM EST</t>
  </si>
  <si>
    <t>Last Data Update 2021-11-26 9:00 AM EST</t>
  </si>
  <si>
    <t>Last Data Update 2021-11-29 2:30 PM EST</t>
  </si>
  <si>
    <t>Last Data Update 2021-12-1 1:30 PM EST</t>
  </si>
  <si>
    <t>Last Data Update 2021-12-3 9:00 AM EST</t>
  </si>
  <si>
    <t>Last Data Update 2021-12-6 9:30 AM EST</t>
  </si>
  <si>
    <t>Last Data Update 2021-12-8 1:00 PM EST</t>
  </si>
  <si>
    <t>Last Data Update 2021-12-10 9:00 AM EST</t>
  </si>
  <si>
    <t>Last Data Update 2022-01-06 5:00 PM EST</t>
  </si>
  <si>
    <t>Last Data Update 2022-01-11 3:00 PM EST</t>
  </si>
  <si>
    <t>Last Data Update 2022-01-13 12:00 PM EST</t>
  </si>
  <si>
    <t>Last Data Update 2022-01-17 5:30 PM EST</t>
  </si>
  <si>
    <t>*** NT's official website does not disclose the number of current hospitalizations, but according to the press it was 2 as of January 13th.</t>
  </si>
  <si>
    <t>**** YT's official website does not disclose the number of current hospitalizations, but according to the press it was 2 as of January 12th.</t>
  </si>
  <si>
    <t>** NL's official website does not disclose the number of ICU patients.</t>
  </si>
  <si>
    <t>*** NT's official website does not disclose the number of current hospitalizations, but according to the press it was 7 as of January 17th.</t>
  </si>
  <si>
    <t>**** YT's official website does not disclose the number of current hospitalizations, but according to the press it was 0 as of January 18th.</t>
  </si>
  <si>
    <t>** NL's official website does not disclose the number of ICU patients, but according to the press it was 3 as of January 18th.</t>
  </si>
  <si>
    <t>***** NU's official website does not disclose the number of current hospitalizations, but according to the press as of January 18th, 10 people had been hospitalized since mid-December.</t>
  </si>
  <si>
    <t>Last Data Update 2022-01-19 4:30 PM EST</t>
  </si>
  <si>
    <t>******NB's  information was extracted from a CBC news article dated from January 19th.</t>
  </si>
  <si>
    <t>*** NT's official website does not disclose the number of current hospitalizations, but according to the press it was 9 as of January 20th.</t>
  </si>
  <si>
    <t>** NL's official website does not disclose the number of ICU patients, but according to the press it was 1 as of January 21st.</t>
  </si>
  <si>
    <t>**** YT's official website does not disclose the number of current hospitalizations, but according to the press it was 0 as of January 19th.</t>
  </si>
  <si>
    <t>***** NU's official website does not disclose the number of current hospitalizations, but according to the press as of January 20th, 10 people had been hospitalized since mid-December.</t>
  </si>
  <si>
    <t>******NB's  information was extracted from a CBC news article dated from January 21st.</t>
  </si>
  <si>
    <t>Last Data Update 2022-01-21 4 PM EST</t>
  </si>
  <si>
    <t>******NB's  information was extracted from a news article dated from January 23rd.</t>
  </si>
  <si>
    <t>*** NT's official website does not disclose the number of current hospitalizations, but according to the press it was 9 as of January 21st.</t>
  </si>
  <si>
    <t>Last Data Update 2022-01-24 12 PM EST</t>
  </si>
  <si>
    <t>** NL's official website does not disclose the number of ICU patients, but according to the press it was 5 as of January 25th.</t>
  </si>
  <si>
    <t>*** NT's official website does not disclose the number of current hospitalizations, but according to the press it was 11 as of January 25th.</t>
  </si>
  <si>
    <t>******NB's  information was extracted from a news article dated from January 26th.</t>
  </si>
  <si>
    <t>***** NU's official website does not disclose the number of current hospitalizations, but according to the press as of January 25th, 9 people had been hospitalized since mid-December.</t>
  </si>
  <si>
    <t>Last Data Update 2022-01-26 5:10 PM EST</t>
  </si>
  <si>
    <t>Last Data Update 2022-01-28 5 PM EST</t>
  </si>
  <si>
    <t>******NB's  information was extracted from a news article dated from January 28th.</t>
  </si>
  <si>
    <t>** NL's official website does not disclose the number of ICU patients, but according to the press it was 8 as of January 28th.</t>
  </si>
  <si>
    <t>*** NT's official website does not disclose the number of current hospitalizations, but according to the press it was 13 as of January 27th.</t>
  </si>
  <si>
    <t>**** YT's official website does not disclose the number of current hospitalizations, but according to the press it was 1 as of January 26th.</t>
  </si>
  <si>
    <t>***** NU's official website does not disclose the number of current hospitalizations, but according to the press as of January 27th, 9 people had been hospitalized since mid-December.</t>
  </si>
  <si>
    <t>******NB's  information was extracted from a news article dated from January 30th.</t>
  </si>
  <si>
    <t>** NL's official website does not disclose the number of ICU patients, but according to the press it is 13 as of January 31st.</t>
  </si>
  <si>
    <t>Last Data Update 2022-01-31 11 AM EST</t>
  </si>
  <si>
    <t>Last Data Update 2022-02-02 5:30 PM EST</t>
  </si>
  <si>
    <t>******NB's  information was extracted from a news article dated from February 2nd.</t>
  </si>
  <si>
    <t>** NL's official website does not disclose the number of ICU patients, but according to the press it is 9 as of February 2nd.</t>
  </si>
  <si>
    <t>*** NT's official website does not disclose the number of current hospitalizations, but according to the press it was 18 as of February 1st (it increased by 5).</t>
  </si>
  <si>
    <t>***** NU's official website does not disclose the number of current hospitalizations, but according to the press as of February 1st, 13 people had been hospitalized since mid-December.</t>
  </si>
  <si>
    <t>Last Data Update 2022-02-04 5:30 PM EST</t>
  </si>
  <si>
    <t>******NB's  information was extracted from a news article dated from February 4th.</t>
  </si>
  <si>
    <t>** NL's official website does not disclose the number of ICU patients, but according to the press it is 9 as of February 4th.</t>
  </si>
  <si>
    <t>*** NT's official website does not disclose the number of current hospitalizations, but according to the press it was 18 as of February 3rd (no new hospitalizations were recorded).</t>
  </si>
  <si>
    <t>**** YT's official website does not disclose the number of current hospitalizations, but according to the press it was 4 as of February 3rd. The number of people in ICU wasn't disclosed.</t>
  </si>
  <si>
    <t>***** NU's official website does not disclose the number of current hospitalizations, but according to the press as of February 3rd, 13 people had been hospitalized since mid-December.</t>
  </si>
  <si>
    <t>******NB's  information was extracted from a news article dated from February 7th.</t>
  </si>
  <si>
    <t>** NL's official website does not disclose the number of ICU patients, but according to the press it is 6 as of February 7th.</t>
  </si>
  <si>
    <t>*** NT's official website does not disclose the number of current hospitalizations, but according to the press it was 18 as of February 4th (no new hospitalizations or ICU admissions were recorded).</t>
  </si>
  <si>
    <t>Last Data Update 2022-02-07 5 PM EST</t>
  </si>
  <si>
    <t>***** NU's official website does not disclose the number of current hospitalizations, but according to the press as of February 7th, 13 people had been hospitalized since mid-December.</t>
  </si>
  <si>
    <t>Last Data Update 2022-02-09 12:30 PM EST</t>
  </si>
  <si>
    <t>******NB's  information was extracted from a news article dated from February 8th.</t>
  </si>
  <si>
    <t>** NL's official website does not disclose the number of ICU patients, but according to the press it was 7 as of February 8th.</t>
  </si>
  <si>
    <t>*** NT's official website does not disclose the number of current hospitalizations, but according to the press it was 20 as of February 8th (two new hospitalizations were recorded).</t>
  </si>
  <si>
    <t>**** YT's official website does not disclose the number of current hospitalizations, but according to the press it was 4 as of February 8th. The number of people in ICU wasn't disclosed.</t>
  </si>
  <si>
    <t>***** NU's official website does not disclose the number of current hospitalizations, but according to the press as of February 8th, 19 people had been hospitalized since mid-December.</t>
  </si>
  <si>
    <t>Last Data Update 2022-02-11 5:30 PM EST</t>
  </si>
  <si>
    <t>******NB's  information was extracted from a news article dated from February 11th.</t>
  </si>
  <si>
    <t>** NL's official website does not disclose the number of ICU patients, but according to the press it was 9 as of February 11th.</t>
  </si>
  <si>
    <t>**** YT's official website does not disclose the number of current hospitalizations, but according to the press it was 0 as of February 11th.</t>
  </si>
  <si>
    <t>***** NU's official website does not disclose the number of current hospitalizations, but according to the press as of February 10th, 19 people had been hospitalized since mid-December.</t>
  </si>
  <si>
    <t>*******SK's official website is no longer doing daily reporting, so the information was extracted from a news article dated from February 11th.</t>
  </si>
  <si>
    <t>*** NT's official website does not disclose the number of current hospitalizations, but according to the press it was 21 as of February 10th (one new hospitalization was recorded).</t>
  </si>
  <si>
    <t>Last Data Update 2022-02-14 11 AM EST</t>
  </si>
  <si>
    <t>******NB's  information was extracted from a news article dated from February 13th.</t>
  </si>
  <si>
    <t>** NL's official website does not disclose the number of ICU patients, and the press does not have this information.</t>
  </si>
  <si>
    <t>*******SK's official website is no longer doing daily reporting, so the information was extracted from a news article dated from February 14th.</t>
  </si>
  <si>
    <t>Last Data Update 2022-02-16 5 PM EST</t>
  </si>
  <si>
    <t>******NB's  information was extracted from a news article dated from February 16th.</t>
  </si>
  <si>
    <t>** NL's official website does not disclose the number of ICU patients, and according to the press it was 6 as of February 15th.</t>
  </si>
  <si>
    <t>**** YT's official website does not disclose the number of current hospitalizations, but according to the press it was 0 as of February 15th.</t>
  </si>
  <si>
    <t>*** NT's official website does not disclose the number of current hospitalizations, but according to the press as of February 14th two new hospitalizations were recorded, which brings the total to 23, up from 21 on the last table. However, this number does not reflect the total number of people currently in hospital with the disease — that total is unclear.</t>
  </si>
  <si>
    <t>*******SK's official website is no longer doing daily reporting, so the information was extracted from a news article dated from February 15th.</t>
  </si>
  <si>
    <t>***** NU's official website does not disclose the number of current hospitalizations, but according to the press as of February 16th, 22 people had been hospitalized during the Omicron wave. That number does not represent the total number of people currently in hospital with the disease — that total is unclear.</t>
  </si>
  <si>
    <t>Last Data Update 2022-02-18 5:30 PM EST</t>
  </si>
  <si>
    <t>******NB's  information was extracted from a news article dated from February 18th.</t>
  </si>
  <si>
    <t>*******SK's official website is no longer doing daily reporting, so the information was extracted from a news article dated from February 17th.</t>
  </si>
  <si>
    <t>** NL's official website does not disclose the number of ICU patients, but according to the press it is 5 as of February 18th.</t>
  </si>
  <si>
    <t>***** NU's official website does not disclose the number of current hospitalizations, but according to the press as of February 18th, 22 people had been hospitalized during the Omicron wave. That number does not represent the total number of people currently in hospital. This number is unclear.</t>
  </si>
  <si>
    <t>*** NT's official website does not disclose the number of current hospitalizations, but according to the press, as of February 18th, 4 new hospitalizations and 1 ICU admission were recorded, which brings the total to 27, up from 23 on the last table. However, this number does not represent the total number of people currently in hospital. This number is unclear.</t>
  </si>
  <si>
    <t>**** YT's official website is now informing the number of hospitalizations, which is 0 as of February 18th.</t>
  </si>
  <si>
    <t>Last Data Update 2022-02-23 10:30 AM EST</t>
  </si>
  <si>
    <t>******NB's  information was extracted from a news article dated from February 22th.</t>
  </si>
  <si>
    <t>** NL's official website does not disclose the number of ICU patients, but according to the press it was 5 as of February 21th.</t>
  </si>
  <si>
    <t>*******SK's official website is no longer doing daily reporting, so the information was extracted from a news article dated from February 19th.</t>
  </si>
  <si>
    <t>*** NT's official website does not disclose the number of current hospitalizations, but according to the press, as of February 22th, 1 new hospitalization was recorded, which brings the total to 28, up from 27 on the last table. However, this number does not reflect the number of people currently in hospital. That number is unclear.</t>
  </si>
  <si>
    <t>**** YT's official website is now informing the number of hospitalizations, which was 0 as of February 22th.</t>
  </si>
  <si>
    <t>Last Data Update 2022-02-25 11:30 AM EST</t>
  </si>
  <si>
    <t>******NB's  information was extracted from a news article dated from February 24th.</t>
  </si>
  <si>
    <t>*******SK's official website is no longer doing daily reporting, so the information was extracted from a news article dated from February 24th.</t>
  </si>
  <si>
    <t>** NL's information was extracted from a news article dated from February 24th. The number of ICU patients was not disclosed.</t>
  </si>
  <si>
    <t>**** YT's official website is now informing the number of hospitalizations, which was 0 as of February 25th.</t>
  </si>
  <si>
    <t>Last Data Update 2022-03-02 3 PM EST</t>
  </si>
  <si>
    <t>******NB's  information was extracted from a news article dated from March 2nd.</t>
  </si>
  <si>
    <t>*******SK's official website is no longer doing daily reporting, so the information was extracted from a news article dated from February 28th.</t>
  </si>
  <si>
    <t>** NL's information was extracted from a news article dated from March 2nd. The number of ICU patients was not disclosed.</t>
  </si>
  <si>
    <t>**** YT's official website is now informing the number of hospitalizations, which is 0 as of March 2nd.</t>
  </si>
  <si>
    <t>*** NT's official website does not disclose the number of current hospitalizations, but according to the press, as of February 25th, 1 new hospitalization and 1 new ICU admission were recorded, which brings the figures to 29 and 6, up from 28 and 5 on the previous table. However, the precise number of people currently in hospital due to Covid-19 is unclear.</t>
  </si>
  <si>
    <t>Last Data Update 2022-03-04 3 PM EST</t>
  </si>
  <si>
    <t>******NB's  information was extracted from a news article dated from March 4th.</t>
  </si>
  <si>
    <t>*******SK's official website is no longer doing daily reporting, so the information was extracted from a news article dated from March 3rd.</t>
  </si>
  <si>
    <t>** NL's information was extracted from a news article dated from March 4th.</t>
  </si>
  <si>
    <t>**** YT's official website is now informing the number of hospitalizations, which is 0 as of March 4th.</t>
  </si>
  <si>
    <t>***** NU's official website does not disclose the number of current hospitalizations, but according to the press as of March 2nd, 27 people had been hospitalized during the Omicron wave. That number does not represent the total number of people currently in hospital. This number is unclear.</t>
  </si>
  <si>
    <t>Last Data Update 2022-03-07 3 PM EST</t>
  </si>
  <si>
    <t>******NB's  information was extracted from a news article dated from March 7th.</t>
  </si>
  <si>
    <t>*******SK's official website is no longer doing daily reporting, so the information was extracted from a news article dated from March 6th.</t>
  </si>
  <si>
    <t>** NL's information was extracted from a news article dated from March 7th.</t>
  </si>
  <si>
    <t>**** YT's official website is now informing the number of hospitalizations, which is 2 as of March 7th.</t>
  </si>
  <si>
    <t>Last Data Update 2022-03-09 12 PM EST</t>
  </si>
  <si>
    <t>******NB's  information was extracted from a news article dated from March 8th.</t>
  </si>
  <si>
    <t>**** YT's official website is now informing the number of hospitalizations. Two people were admitted to hospital on Feb. 25th, but it is unclear if they remain there.</t>
  </si>
  <si>
    <t>*******SK's official website is no longer doing daily reporting, so the information was extracted from a news article dated from March 8th, where the number of ICU patients was not disclosed. Therefore, March 7th ICU number was kept on the table.</t>
  </si>
  <si>
    <t>Last Data Update 2022-03-11 1 PM EST</t>
  </si>
  <si>
    <t>******NB's  information was extracted from a news article dated from March 11th.</t>
  </si>
  <si>
    <t>*******SK's official website is no longer doing daily reporting, so the information was extracted from a news article dated from March 10th.</t>
  </si>
  <si>
    <t>** NL's information was extracted from a news article dated from March 9th.</t>
  </si>
  <si>
    <t>**** YT's official website is now informing the number of hospitalizations. Two people were admitted to hospital on Feb. 25th, but it is unclear if they remain there. There have been no new hospitalizations since then.</t>
  </si>
  <si>
    <t>***** NU's official website does not disclose the number of current hospitalizations, but according to the press as of March 9th, 33 people had been hospitalized since December 21st due to the Omicron wave. That number does not represent the total number of people currently in hospital. That number is unclear.</t>
  </si>
  <si>
    <t>*********NS moved from daily to weekly reporting. The last report does not include the number of people in ICU. Therefore, the ICU figure from the March 9th table was kept.</t>
  </si>
  <si>
    <t>Last Data Update 2022-03-16 12 PM EST</t>
  </si>
  <si>
    <t>******NB's  information was extracted from a news article dated from March 15th.</t>
  </si>
  <si>
    <t>** NL's information was extracted from a news article dated from March 11th.</t>
  </si>
  <si>
    <t>Last Data Update 2022-03-18 6 PM EST</t>
  </si>
  <si>
    <t>*******SK's official website is no longer doing daily reporting, so the information was extracted from a news article dated from March 17th.</t>
  </si>
  <si>
    <t>** NL's information was extracted from a news article dated from March 18th.</t>
  </si>
  <si>
    <t>******NB's  information was extracted from a news article dated from March 16th.</t>
  </si>
  <si>
    <t>*** NT's official website does not disclose the number of current hospitalizations, but according to the press, as of March 15th, 38 people had been hospitalized during the Omicron wave and 9 had been admitted to ICU. However, the precise number of people currently in hospital is unclear.</t>
  </si>
  <si>
    <t>**** YT's official website is now informing the number of hospitalizations. Two people were admitted to hospital on February 25th and one person was admitted on March 15th. It is unclear if the ones admitted in February remain in hospital.</t>
  </si>
  <si>
    <t>*********NS moved from daily to weekly reporting. The information was extracted from a news article dated from March 18th.</t>
  </si>
  <si>
    <t>*</t>
  </si>
  <si>
    <t>Last Data Update 2022-03-21 6 PM EST</t>
  </si>
  <si>
    <t>** NL's information was extracted from a news article dated from March 21th.</t>
  </si>
  <si>
    <t>Last Data Update 2022-03-23 5:30 PM EST</t>
  </si>
  <si>
    <t>******NB's  information was extracted from a news article dated from March 22th.</t>
  </si>
  <si>
    <t>*******SK's official website is no longer doing daily reporting, so the information was extracted from a news article dated from March 24th.</t>
  </si>
  <si>
    <t>**** YT's official website is now informing the number of hospitalizations. Two people were admitted to hospital on February 25th and one person was admitted on March 15th. It is unclear if these people remain in hospital.</t>
  </si>
  <si>
    <t>Last Data Update 2022-03-25 5 PM EST</t>
  </si>
  <si>
    <t>Last Data Update 2022-03-28 5:30 PM EST</t>
  </si>
  <si>
    <t>******NB's  information was extracted from a news article dated from March 23th.</t>
  </si>
  <si>
    <t>*** NT's official website does not disclose the number of current hospitalizations, but according to the press, as of March 23th, there were 8 people in hospital with Covid-19.</t>
  </si>
  <si>
    <t>**** YT's official website is now informing the number of hospitalizations. Two people were admitted to hospital on February 25th and one person was admitted on March 15th. It is unclear if any of them remains in hospital.</t>
  </si>
  <si>
    <t>********NS's information was extracted from a news article dated from March 28th.</t>
  </si>
  <si>
    <t>*********MB's information was extracted from a news article dated from March 25th.</t>
  </si>
  <si>
    <t>Last Data Update 2022-03-30 5:30 PM EST</t>
  </si>
  <si>
    <t>******NB's  information was extracted from a news article dated from March 29th.</t>
  </si>
  <si>
    <t>*******SK's official website is no longer doing daily reporting, so the information was extracted from a news article dated from March 29th.</t>
  </si>
  <si>
    <t>Last Data Update 2022-04-01 6:30 PM EST</t>
  </si>
  <si>
    <t>*******SK's official website is no longer doing daily reporting, so the information was extracted from a news article dated from March 31st.</t>
  </si>
  <si>
    <t>********MB's oficial website is no longer doing daily reporting. The information was extracted from a news article dated from March 31st. Note that these are the numbers of new hospitalizations and ICU admissions for the March 20th-26th week. The numbers of active hospitalizations and ICU cases were not disclosed.</t>
  </si>
  <si>
    <t>Last Data Update 2022-04-04 5:30 PM EST</t>
  </si>
  <si>
    <t>Last Data Update 2022-04-06 6 PM EST</t>
  </si>
  <si>
    <t>******NB's  information was extracted from a news article dated from April 5th.</t>
  </si>
  <si>
    <t>**** According to YT's official website, two people were admitted to hospital with Covid-19 on March 30th and 31st.</t>
  </si>
  <si>
    <t>*********BC stopped doing daily reporting. The information was extracted from a news article dated from April 5th.</t>
  </si>
  <si>
    <t>Last Data Update 2022-04-08 5:30 PM EST</t>
  </si>
  <si>
    <t>*******SK's official website is no longer doing daily reporting, so the information was extracted from a news article dated from April 7th.</t>
  </si>
  <si>
    <t>** NT's official website does not disclose the number of current hospitalizations, but according to the press, as of March 23th, there were 8 people in hospital with Covid-19.</t>
  </si>
  <si>
    <t>*** According to YT's official website, two people were admitted to hospital with Covid-19 on March 30th and 31st. It is unclear if either of them remains in hospital.</t>
  </si>
  <si>
    <t>**** NU's official website does not disclose the number of current hospitalizations, but according to the press as of March 9th, 33 people had been hospitalized since December 21st due to the Omicron wave. That number does not represent the total number of people currently in hospital. That number is unclear.</t>
  </si>
  <si>
    <t>*****NB's  information was extracted from a news article dated from April 5th.</t>
  </si>
  <si>
    <t>******MB's oficial website is no longer doing daily reporting. The information was extracted from a news article dated from April 7th. Note that these are the numbers of new hospitalizations and ICU admissions for the March 27th-April 2nd week. The numbers of active hospitalizations and ICU cases were not disclosed.</t>
  </si>
  <si>
    <t>Last Data Update 2022-04-11 5:30 PM EST</t>
  </si>
  <si>
    <t>******MB's oficial website is no longer doing daily reporting. The information was extracted from a news article dated from April 11th.</t>
  </si>
  <si>
    <t>Last Data Update 2022-04-13 6:30 PM EST</t>
  </si>
  <si>
    <t>*****NB's  information was extracted from a news article dated from April 12th.</t>
  </si>
  <si>
    <t>Last Data Update 2022-04-22 7:30 PM EST</t>
  </si>
  <si>
    <t>*****NB's  information was extracted from a news article dated from April 20th.</t>
  </si>
  <si>
    <t>******MB's oficial website is no longer doing daily reporting. The information was extracted from a news article dated from April 21th.</t>
  </si>
  <si>
    <t>*******SK's official website is no longer doing daily reporting, so the information was extracted from a news article dated from April 21st.</t>
  </si>
  <si>
    <t>*** According to YT's official website, two people were admitted to hospital with Covid-19 on April 13th and 20th, respectively. It is unclear if the person admitted on April 13th remains in hospital.</t>
  </si>
  <si>
    <t>Last Data Update 2022-04-29 5:30 PM EST</t>
  </si>
  <si>
    <t>*****NB's  information was extracted from a news article dated from April 28th.</t>
  </si>
  <si>
    <t>*******SK's official website is no longer doing daily reporting, so the information was extracted from a news article dated from April 28th.</t>
  </si>
  <si>
    <t>*** According to YT's official website, one person was admitted to hospital with Covid-19 on April 13th and two people were admitted on April 20th. It is unclear if any of them remains in hospital.</t>
  </si>
  <si>
    <t xml:space="preserve">** NT's official website does not disclose the number of current hospitalizations, but according to the press, between April 1st and April 19th, the NWT reported eight new hospitalizations and one intensive care admission. </t>
  </si>
  <si>
    <t>******MB's oficial website is no longer doing daily reporting. The information was extracted from a news article dated from April 28th.</t>
  </si>
  <si>
    <t>Last Data Update 2022-05-06 4:30 PM EST</t>
  </si>
  <si>
    <t>*****NB's  information was extracted from a news article dated from May 3rd.</t>
  </si>
  <si>
    <t>******MB's official website is no longer doing daily reporting. The information was extracted from a news article dated from May 5th. Note that these are the numbers of new hospitalizations and ICU admissions for the April 24th-30th week. The numbers of active hospitalizations and ICU cases were not disclosed.</t>
  </si>
  <si>
    <t>*******SK's official website is no longer doing daily reporting, so the information was extracted from a news article dated from May 5th.</t>
  </si>
  <si>
    <t>*** According to YT's official website, two people were admitted to hospital with Covid-19 on April 20th, and five people were admitted between April 25th and May 4th. It is unclear if any of them remains in hospital.</t>
  </si>
  <si>
    <t>Last Data Update 2022-05-13 1:30 PM EST</t>
  </si>
  <si>
    <t>*****NB's  information was extracted from a news article dated from May 10th.</t>
  </si>
  <si>
    <t>******MB's official website is no longer doing daily reporting. The information was extracted from the latest offical report from May 10th. Note that these are the numbers of new hospitalizations and ICU admissions for the May 1st-7th week. The numbers of active hospitalizations and ICU cases were not disclosed.</t>
  </si>
  <si>
    <t>*******SK's official website is no longer doing daily reporting, so the information was extracted from a news article dated from May 12th.</t>
  </si>
  <si>
    <t>*** According to YT's official website, five people were admitted to hospital with Covid-19 between April 25th and May 3rd, and one person was admitted on May 5th. It is unclear if any of them remains in hospital.</t>
  </si>
  <si>
    <t>**** NU's official website does not disclose the number of current hospitalizations, but according to the press as of March 9th, 33 people had been hospitalized since December 21st due to the Omicron wave. That number does not represent the total number of people currently in hospital. That number is unclear. A news article dated from May 12th has a statement from Nunavut’s chief public health officer, Dr. Michael Patterson, saying that hospitalization numbers remain unchanged since the emergency measures were lifted in April.</t>
  </si>
  <si>
    <t>Last Data Update 2022-05-20 3 PM EST</t>
  </si>
  <si>
    <t>*****NB's  information was extracted from a news article dated from May 17th.</t>
  </si>
  <si>
    <t>*******SK's official website is no longer doing daily reporting, so the information was extracted from a news article dated from May 19th.</t>
  </si>
  <si>
    <t>*** According to YT's official website, five people were admitted to hospital with Covid-19 between May 2nd and May 15th. It is unclear if any of them remains in hospital.</t>
  </si>
  <si>
    <t>******MB's official website is no longer doing daily reporting. The information was extracted from the latest official report from May 17th. Note that these are the numbers of new hospitalizations and ICU admissions for the May 8th-14th week. The numbers of active hospitalizations and ICU cases were not disclosed.</t>
  </si>
  <si>
    <t>******MB's information was extracted from the latest official report from May 25th. Note that these are the numbers of new hospitalizations and ICU admissions for the May 15th-21st week. The numbers of active hospitalizations and ICU cases were not disclosed.</t>
  </si>
  <si>
    <t>*****NB's latest official report from May 24th only informs the number of patients admitted for Covid-19, not including the number of patients that were admitted for other reasons and tested positive for Covid-19 later on.</t>
  </si>
  <si>
    <t>*******SK's information was extracted from the latest official report from May 25th, covering the week of May 15th-21st.</t>
  </si>
  <si>
    <t>** NT's official website does not disclose the number of current hospitalizations, but according to the press, between April 1st and April 19th, the NWT reported eight new hospitalizations and one intensive care admission. The number of Covid-19 patients currently in hospital is unclear.</t>
  </si>
  <si>
    <t>*** According to the YT's official website, five people were admitted to hospital with Covid-19 between May 2nd and May 15th. It is unclear if any of them remains in hospital.</t>
  </si>
  <si>
    <t>Last Data Update 2022-05-27 3:30 PM EST</t>
  </si>
  <si>
    <t>*****NB's latest official report from May 31st (covering the period from May 22nd-28th) only informs the number of patients admitted for Covid-19, not including the number of patients that were admitted for other reasons and tested positive for Covid-19 later on.</t>
  </si>
  <si>
    <t>******MB's information was extracted from the latest official report from June 1st. Note that these are the numbers of new hospitalizations and ICU admissions for the May 22nd-28th week. The numbers of active hospitalizations and ICU cases were not disclosed.</t>
  </si>
  <si>
    <t>*** According to the YT's official website, 3 people were admitted to hospital with Covid-19 between May 24th and May 29th. It is unclear if any of them remains in hospital.</t>
  </si>
  <si>
    <t>Last Data Update 2022-06-02 11:30 AM EST</t>
  </si>
  <si>
    <t>Last Data Update 2022-06-09 1:30 PM EST</t>
  </si>
  <si>
    <t>*****NB's latest official report from June 7th (covering the period from May 29th – June 4th) only informs the number of patients admitted for Covid-19, not including the number of patients that were admitted for other reasons and tested positive for Covid-19 later on.</t>
  </si>
  <si>
    <t>******MB's information was extracted from the latest official report from June 8th. Note that these are the numbers of new hospitalizations and ICU admissions for the May 29th – June 4th week. The numbers of active hospitalizations and ICU cases were not disclosed.</t>
  </si>
  <si>
    <t>*******SK's information was extracted from the latest official report from June 1st, covering the week of May 22th - 28th, 2022.</t>
  </si>
  <si>
    <t>Last Data Update 2022-06-17 3:30 PM EST</t>
  </si>
  <si>
    <t>******MB's information was extracted from the latest official report from June 15th. Note that these are the numbers of new hospitalizations and ICU admissions for the June 5th – June 11th week. The numbers of active hospitalizations and ICU cases were not disclosed.</t>
  </si>
  <si>
    <t>*****NB's latest official report from June 14th (covering the period from June 5th – June 11th) only informs the number of patients admitted for Covid-19, not including the number of patients that were admitted for other reasons and tested positive for Covid-19 later on.</t>
  </si>
  <si>
    <t>*******SK's information was extracted from the latest official report from June 15th, covering the week of June 5th - 11th, 2022.</t>
  </si>
  <si>
    <t>*** According to the YT's official website, 2 people were admitted to hospital with Covid-19 on June 9th and June 13th, respectively. It is unclear if either of them remains in hospital.</t>
  </si>
  <si>
    <t>********ON stopped doing daily reporting. The information was extracted from a news article dated from June 23rd, 2022.</t>
  </si>
  <si>
    <t>*****NB's latest official report from June 21st (covering the period from June 12th – June 18th) only informs the number of patients admitted for Covid-19, not including the number of patients that were admitted for other reasons and tested positive for Covid-19 later on.</t>
  </si>
  <si>
    <t>******MB's information was extracted from the latest official report from June 22nd. Note that these are the numbers of new hospitalizations and ICU admissions for the June 12th – June 18th week. The numbers of active hospitalizations and ICU cases were not disclosed.</t>
  </si>
  <si>
    <t>*******SK's information was extracted from the latest official report from June 22nd, covering the week of June 12th - 18th, 2022.</t>
  </si>
  <si>
    <t>Last Data Update 2022-06-24 1:15 PM EST</t>
  </si>
  <si>
    <t>*****NB's latest official report from June 28th (covering the period from June 19th – June 25th) only informs the number of patients admitted for Covid-19, not including the number of patients that were admitted for other reasons and tested positive for Covid-19 later on.</t>
  </si>
  <si>
    <t>******MB's information was extracted from the latest official report from June 29th. Note that these are the numbers of new hospitalizations and ICU admissions for the June 19th – June 25th week. The numbers of active hospitalizations and ICU cases were not disclosed.</t>
  </si>
  <si>
    <t>*** According to the YT's official website, 3 people were admitted to hospital with Covid-19 on June 9th, June 13th, and June 23rd, respectively. It is unclear if any of them remain in hospital.</t>
  </si>
  <si>
    <t>Last Data Update 2022-06-30 12:50 PM EST</t>
  </si>
  <si>
    <t>********ON stopped doing daily reporting. The information was extracted from a news article dated from July 7th, 2022.</t>
  </si>
  <si>
    <t>*****NB's latest official report from July 5th (covering the period from June 26th – July 2nd) only informs the number of patients admitted for Covid-19, not including the number of patients that were admitted for other reasons and tested positive for Covid-19 later on.</t>
  </si>
  <si>
    <t>******MB's information was extracted from the latest official report from July 6th. Note that these are the numbers of new hospitalizations and ICU admissions for the June 26th – July 2nd week. The numbers of active hospitalizations and ICU cases were not disclosed.</t>
  </si>
  <si>
    <t>*******SK's information was extracted from the latest official report from June 29th, covering the week of June 19th - 25th, 2022.</t>
  </si>
  <si>
    <t>** NT's official website does not disclose the number of current hospitalizations, but according to a news article dated from July 7th, NWT's Chief Public Health Officer Dr. Kami Kandolato informed that 'in the last five weeks, there's only been two hospitalizations. Those patients recovered and there have been no ICU admissions, and no deaths related to COVID-19 since late March.'</t>
  </si>
  <si>
    <t>Last Data Update 2022-07-08 1:40 PM EST</t>
  </si>
  <si>
    <t>Last Data Update 2022-07-15 1:20 PM EST</t>
  </si>
  <si>
    <t>********ON stopped doing daily reporting. The information was extracted from a news article dated from July 14th, 2022.</t>
  </si>
  <si>
    <t>*****NB's latest official report from July 12th (covering the period from July 3rd – July 9th) only informs the number of patients admitted for Covid-19, not including the number of patients that were admitted for other reasons and tested positive for Covid-19 later on.</t>
  </si>
  <si>
    <t>******MB's information was extracted from the latest official report from July 13th. Note that these are the numbers of new hospitalizations and ICU admissions for the July 3rd – July 9th week. The numbers of active hospitalizations and ICU cases were not disclosed.</t>
  </si>
  <si>
    <t>*******SK's information was extracted from the latest official report from June 29th, covering the week of June 19th - 25th, 2022. The province has switched from weekly to monthly reporting, and the next report will be released on July 21st.</t>
  </si>
  <si>
    <t>*** According to the YT's official website, 3 people were admitted to hospital with Covid-19 on July 7th, 8th, and 9th, respectively. It is unclear if any of them remain in hospital.</t>
  </si>
  <si>
    <t>********ON stopped doing daily reporting. The information was extracted from a news article dated from July 21st, 2022.</t>
  </si>
  <si>
    <t>*****NB's latest official report from July 19th (covering the period from July 10th – July 16th) only informs the number of patients admitted for Covid-19, not including the number of patients that were admitted for other reasons and tested positive for Covid-19 later on.</t>
  </si>
  <si>
    <t>******MB's information was extracted from the latest official report from July 20th. Note that these are the numbers of new hospitalizations and ICU admissions for the July 10th – July 16th week. The numbers of active hospitalizations and ICU cases were not disclosed.</t>
  </si>
  <si>
    <t>*******SK's information was extracted from the latest official report from July 21st, covering the week of June 26th -July 16th, 2022. The province has switched from weekly to monthly reporting, and the next report will be released on August 18th.</t>
  </si>
  <si>
    <t>*** According to the YT's official website, 3 people were admitted to hospital with Covid-19 between July 7th and 9th. Four more people were admitted between July 14th and July 18th. It is unclear if any of them remain in hospital.</t>
  </si>
  <si>
    <t>Last Data Update 2022-07-22 4 PM EST</t>
  </si>
  <si>
    <t>Last Data Update 2022-07-29 8 PM EST</t>
  </si>
  <si>
    <t>********ON stopped doing daily reporting. The information was extracted from a news article dated from July 28th, 2022.</t>
  </si>
  <si>
    <t>*****NB's latest official report from July 26th (covering the period from July 17th – July 23rd) only informs the number of patients admitted for Covid-19, not including the number of patients that were admitted for other reasons and tested positive for Covid-19 later on.</t>
  </si>
  <si>
    <t>******MB's information was extracted from the latest official report from July 27th. Note that these are the numbers of new hospitalizations and ICU admissions for the July 17th – July 23rd week. The numbers of active hospitalizations and ICU cases were not disclosed.</t>
  </si>
  <si>
    <t>Last Data Update 2022-08-05 7 PM EST</t>
  </si>
  <si>
    <t>********ON stopped doing daily reporting. The information was extracted from a news article dated August 5th, 2022.</t>
  </si>
  <si>
    <t>*****NB's latest official report from August 3rd (covering the period from July 24th – July 30th) only informs the number of patients admitted for Covid-19, not including the number of patients that were admitted for other reasons and tested positive for Covid-19 later on.</t>
  </si>
  <si>
    <t>******MB's information was extracted from the latest official report from August 3rd. Note that these are the numbers of new hospitalizations and ICU admissions for the July 24th – July 30th week. The numbers of active hospitalizations and ICU cases were not disclosed.</t>
  </si>
  <si>
    <t>*** According to the YT's official website, four people were admitted to hospital with Covid-19 between July 14th and July 18th. Two more people were admitted between July 27th and 29th. It is unclear if any of them remain in hospital.</t>
  </si>
  <si>
    <t>** NT's official website does not disclose the number of current hospitalizations, but according to a news article dated July 31st,  the NWT Department of Health and Social Services spokesperson Jeremy Bird informed that 'There has been a slight uptick in hospitalizations recently, with four in the last 30 days, but this has been manageable so far.' The number of people currently in hospital with Covid-19 is unclear.</t>
  </si>
  <si>
    <t>Last Data Update 2022-08-12 2 PM EST</t>
  </si>
  <si>
    <t>*****NB's latest official report from August 9th (covering the period from July 31st to August 6th) only informs the number of patients admitted for Covid-19, not including the number of patients that were admitted for other reasons and tested positive for Covid-19 later on.</t>
  </si>
  <si>
    <t>******MB's information was extracted from the latest official report from August 10th. Note that these are the numbers of new hospitalizations and ICU admissions for the July 31st – August 6th week. The numbers of active hospitalizations and ICU cases were not disclosed.</t>
  </si>
  <si>
    <t>********ON stopped doing daily reporting. The information was extracted from a news article dated August 11th, 2022.</t>
  </si>
  <si>
    <t>Last Data Update 2022-08-19 2:30 PM EST</t>
  </si>
  <si>
    <t>*****NB's latest official report from August 16th (covering the period from August 7th to August 13th) only informs the number of patients admitted for Covid-19, not including the number of patients that were admitted for other reasons and tested positive for Covid-19 later on.</t>
  </si>
  <si>
    <t>******MB's information was extracted from the latest official report from August 17th. Note that these are the numbers of new hospitalizations and ICU admissions for the August 7th – August 13th week. The numbers of active hospitalizations and ICU cases were not disclosed.</t>
  </si>
  <si>
    <t>*******SK's information was extracted from the latest official report from August 18th, covering the period July 17 to August 13, 2022. The province has switched from weekly to monthly reporting, and the next report will be released in September.</t>
  </si>
  <si>
    <t>********ON is now doing weekly reporting. The information was extracted from the latest official report from August 18th,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</si>
</sst>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b/>
      <sz val="11"/>
      <color theme="1"/>
      <name val="Calibri"/>
      <family val="2"/>
      <scheme val="minor"/>
    </font>
    <font>
      <sz val="11"/>
      <color rgb="FFFF0000"/>
      <name val="Calibri"/>
      <family val="2"/>
      <scheme val="minor"/>
    </font>
    <font>
      <b/>
      <sz val="11"/>
      <color rgb="FFFF0000"/>
      <name val="Calibri"/>
      <family val="2"/>
      <scheme val="minor"/>
    </font>
    <font>
      <b/>
      <sz val="11"/>
      <color theme="2" tint="-0.89999084444715716"/>
      <name val="Calibri"/>
      <family val="2"/>
      <scheme val="minor"/>
    </font>
    <font>
      <sz val="10"/>
      <color rgb="FF222222"/>
      <name val="Arial"/>
      <family val="2"/>
    </font>
    <font>
      <b/>
      <i/>
      <sz val="11"/>
      <color theme="1"/>
      <name val="Calibri"/>
      <family val="2"/>
      <scheme val="minor"/>
    </font>
    <font>
      <i/>
      <sz val="11"/>
      <color theme="1"/>
      <name val="Calibri"/>
      <family val="2"/>
      <scheme val="minor"/>
    </font>
    <font>
      <sz val="11"/>
      <color theme="1"/>
      <name val="Calibri"/>
      <family val="2"/>
    </font>
    <font>
      <b/>
      <vertAlign val="superscript"/>
      <sz val="11"/>
      <color theme="1"/>
      <name val="Calibri"/>
      <family val="2"/>
      <scheme val="minor"/>
    </font>
    <font>
      <vertAlign val="superscript"/>
      <sz val="11"/>
      <color theme="1"/>
      <name val="Calibri"/>
      <family val="2"/>
      <scheme val="minor"/>
    </font>
    <font>
      <b/>
      <i/>
      <vertAlign val="superscript"/>
      <sz val="11"/>
      <color theme="1"/>
      <name val="Calibri"/>
      <family val="2"/>
      <scheme val="minor"/>
    </font>
    <font>
      <u/>
      <sz val="11"/>
      <color theme="10"/>
      <name val="Calibri"/>
      <family val="2"/>
      <scheme val="minor"/>
    </font>
  </fonts>
  <fills count="3">
    <fill>
      <patternFill patternType="none"/>
    </fill>
    <fill>
      <patternFill patternType="gray125"/>
    </fill>
    <fill>
      <patternFill patternType="solid">
        <fgColor theme="0" tint="-0.14999847407452621"/>
        <bgColor indexed="64"/>
      </patternFill>
    </fill>
  </fills>
  <borders count="6">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indexed="64"/>
      </bottom>
      <diagonal/>
    </border>
  </borders>
  <cellStyleXfs count="2">
    <xf numFmtId="0" fontId="0" fillId="0" borderId="0"/>
    <xf numFmtId="0" fontId="12" fillId="0" borderId="0" applyNumberFormat="0" applyFill="0" applyBorder="0" applyAlignment="0" applyProtection="0"/>
  </cellStyleXfs>
  <cellXfs count="46">
    <xf numFmtId="0" fontId="0" fillId="0" borderId="0" xfId="0"/>
    <xf numFmtId="0" fontId="0" fillId="0" borderId="0" xfId="0" applyBorder="1"/>
    <xf numFmtId="0" fontId="2" fillId="0" borderId="0" xfId="0" applyFont="1" applyBorder="1" applyAlignment="1"/>
    <xf numFmtId="0" fontId="0" fillId="0" borderId="0" xfId="0" applyBorder="1" applyAlignment="1"/>
    <xf numFmtId="0" fontId="1" fillId="0" borderId="0" xfId="0" applyFont="1" applyBorder="1" applyAlignment="1">
      <alignment horizontal="center"/>
    </xf>
    <xf numFmtId="0" fontId="0" fillId="0" borderId="0" xfId="0" applyBorder="1" applyAlignment="1">
      <alignment horizontal="center"/>
    </xf>
    <xf numFmtId="0" fontId="0" fillId="0" borderId="0" xfId="0" applyFill="1" applyBorder="1" applyAlignment="1">
      <alignment horizontal="center" wrapText="1"/>
    </xf>
    <xf numFmtId="0" fontId="0" fillId="0" borderId="0" xfId="0" applyFill="1" applyBorder="1" applyAlignment="1">
      <alignment horizontal="center"/>
    </xf>
    <xf numFmtId="0" fontId="0" fillId="0" borderId="0" xfId="0" applyNumberFormat="1" applyBorder="1" applyAlignment="1">
      <alignment horizontal="center" vertical="center"/>
    </xf>
    <xf numFmtId="0" fontId="4" fillId="2" borderId="1" xfId="0" applyFont="1" applyFill="1" applyBorder="1" applyAlignment="1">
      <alignment horizontal="center"/>
    </xf>
    <xf numFmtId="0" fontId="4" fillId="2" borderId="2" xfId="0" applyFont="1" applyFill="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1" fillId="0" borderId="0" xfId="0" applyFont="1" applyFill="1" applyBorder="1" applyAlignment="1">
      <alignment horizontal="left"/>
    </xf>
    <xf numFmtId="0" fontId="1" fillId="0" borderId="0" xfId="0" applyFont="1" applyFill="1" applyBorder="1" applyAlignment="1">
      <alignment horizontal="center"/>
    </xf>
    <xf numFmtId="0" fontId="0" fillId="0" borderId="0" xfId="0" applyFill="1" applyBorder="1" applyAlignment="1"/>
    <xf numFmtId="0" fontId="0" fillId="0" borderId="0" xfId="0" applyFill="1" applyBorder="1"/>
    <xf numFmtId="0" fontId="5" fillId="0" borderId="0" xfId="0" applyFont="1" applyAlignment="1">
      <alignment horizontal="center"/>
    </xf>
    <xf numFmtId="0" fontId="0" fillId="0" borderId="0" xfId="0" applyBorder="1" applyAlignment="1">
      <alignment horizontal="center" wrapText="1"/>
    </xf>
    <xf numFmtId="1" fontId="0" fillId="0" borderId="0" xfId="0" applyNumberFormat="1" applyBorder="1" applyAlignment="1">
      <alignment horizontal="center"/>
    </xf>
    <xf numFmtId="1" fontId="3" fillId="0" borderId="3" xfId="0" applyNumberFormat="1" applyFont="1" applyBorder="1" applyAlignment="1">
      <alignment horizontal="center"/>
    </xf>
    <xf numFmtId="0" fontId="0" fillId="0" borderId="0" xfId="0" applyFont="1" applyFill="1" applyBorder="1" applyAlignment="1">
      <alignment horizontal="left"/>
    </xf>
    <xf numFmtId="0" fontId="6" fillId="0" borderId="0" xfId="0" applyFont="1" applyBorder="1" applyAlignment="1">
      <alignment horizontal="center"/>
    </xf>
    <xf numFmtId="0" fontId="7" fillId="0" borderId="0" xfId="0" applyFont="1" applyBorder="1" applyAlignment="1">
      <alignment horizontal="center"/>
    </xf>
    <xf numFmtId="0" fontId="8" fillId="0" borderId="0" xfId="0" applyFont="1" applyFill="1" applyBorder="1" applyAlignment="1">
      <alignment horizontal="left"/>
    </xf>
    <xf numFmtId="0" fontId="0" fillId="0" borderId="0" xfId="0" applyBorder="1" applyAlignment="1">
      <alignment horizontal="left" vertical="top"/>
    </xf>
    <xf numFmtId="0" fontId="0" fillId="0" borderId="0" xfId="0" applyFill="1" applyBorder="1" applyAlignment="1">
      <alignment horizontal="left" vertical="top"/>
    </xf>
    <xf numFmtId="0" fontId="1" fillId="0" borderId="5" xfId="0" applyFont="1" applyFill="1" applyBorder="1" applyAlignment="1">
      <alignment vertical="top"/>
    </xf>
    <xf numFmtId="0" fontId="0" fillId="0" borderId="5" xfId="0" applyNumberFormat="1" applyBorder="1" applyAlignment="1">
      <alignment horizontal="center" vertical="center"/>
    </xf>
    <xf numFmtId="0" fontId="0" fillId="0" borderId="5" xfId="0" applyBorder="1" applyAlignment="1"/>
    <xf numFmtId="0" fontId="0" fillId="0" borderId="0" xfId="0" applyFont="1" applyBorder="1" applyAlignment="1">
      <alignment horizontal="center"/>
    </xf>
    <xf numFmtId="0" fontId="1" fillId="0" borderId="0" xfId="0" applyFont="1" applyFill="1" applyBorder="1" applyAlignment="1">
      <alignment vertical="top"/>
    </xf>
    <xf numFmtId="3" fontId="0" fillId="0" borderId="0" xfId="0" applyNumberFormat="1" applyBorder="1" applyAlignment="1">
      <alignment horizontal="center" wrapText="1"/>
    </xf>
    <xf numFmtId="0" fontId="12" fillId="0" borderId="0" xfId="1" applyBorder="1"/>
    <xf numFmtId="0" fontId="12" fillId="0" borderId="0" xfId="1" applyFill="1" applyBorder="1" applyAlignment="1">
      <alignment vertical="top"/>
    </xf>
    <xf numFmtId="0" fontId="12" fillId="0" borderId="0" xfId="1" applyFill="1" applyBorder="1" applyAlignment="1">
      <alignment horizontal="left"/>
    </xf>
    <xf numFmtId="0" fontId="12" fillId="0" borderId="0" xfId="1"/>
    <xf numFmtId="0" fontId="2" fillId="0" borderId="0" xfId="0" applyFont="1"/>
    <xf numFmtId="0" fontId="1" fillId="0" borderId="0" xfId="0" applyFont="1" applyAlignment="1">
      <alignment horizontal="center"/>
    </xf>
    <xf numFmtId="0" fontId="0" fillId="0" borderId="0" xfId="0" applyAlignment="1">
      <alignment horizontal="center" wrapText="1"/>
    </xf>
    <xf numFmtId="0" fontId="0" fillId="0" borderId="0" xfId="0" applyAlignment="1">
      <alignment horizontal="center"/>
    </xf>
    <xf numFmtId="1" fontId="0" fillId="0" borderId="0" xfId="0" applyNumberFormat="1" applyAlignment="1">
      <alignment horizontal="center"/>
    </xf>
    <xf numFmtId="3" fontId="0" fillId="0" borderId="0" xfId="0" applyNumberFormat="1" applyAlignment="1">
      <alignment horizontal="center" wrapText="1"/>
    </xf>
    <xf numFmtId="0" fontId="0" fillId="0" borderId="0" xfId="0" applyAlignment="1">
      <alignment horizontal="center" vertical="center"/>
    </xf>
    <xf numFmtId="0" fontId="2" fillId="0" borderId="0" xfId="0" applyFont="1" applyBorder="1" applyAlignment="1">
      <alignment horizontal="center"/>
    </xf>
    <xf numFmtId="0" fontId="2" fillId="0" borderId="0" xfId="0" applyFont="1" applyAlignment="1">
      <alignment horizont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268" Type="http://schemas.openxmlformats.org/officeDocument/2006/relationships/worksheet" Target="worksheets/sheet268.xml"/><Relationship Id="rId289" Type="http://schemas.openxmlformats.org/officeDocument/2006/relationships/worksheet" Target="worksheets/sheet289.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79" Type="http://schemas.openxmlformats.org/officeDocument/2006/relationships/worksheet" Target="worksheets/sheet279.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290" Type="http://schemas.openxmlformats.org/officeDocument/2006/relationships/worksheet" Target="worksheets/sheet290.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worksheet" Target="worksheets/sheet280.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worksheet" Target="worksheets/sheet291.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34" Type="http://schemas.openxmlformats.org/officeDocument/2006/relationships/worksheet" Target="worksheets/sheet234.xml"/><Relationship Id="rId239" Type="http://schemas.openxmlformats.org/officeDocument/2006/relationships/worksheet" Target="worksheets/sheet239.xml"/><Relationship Id="rId2" Type="http://schemas.openxmlformats.org/officeDocument/2006/relationships/worksheet" Target="worksheets/sheet2.xml"/><Relationship Id="rId29" Type="http://schemas.openxmlformats.org/officeDocument/2006/relationships/worksheet" Target="worksheets/sheet29.xml"/><Relationship Id="rId250" Type="http://schemas.openxmlformats.org/officeDocument/2006/relationships/worksheet" Target="worksheets/sheet250.xml"/><Relationship Id="rId255" Type="http://schemas.openxmlformats.org/officeDocument/2006/relationships/worksheet" Target="worksheets/sheet255.xml"/><Relationship Id="rId271" Type="http://schemas.openxmlformats.org/officeDocument/2006/relationships/worksheet" Target="worksheets/sheet271.xml"/><Relationship Id="rId276" Type="http://schemas.openxmlformats.org/officeDocument/2006/relationships/worksheet" Target="worksheets/sheet276.xml"/><Relationship Id="rId292" Type="http://schemas.openxmlformats.org/officeDocument/2006/relationships/theme" Target="theme/theme1.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worksheet" Target="worksheets/sheet245.xml"/><Relationship Id="rId261" Type="http://schemas.openxmlformats.org/officeDocument/2006/relationships/worksheet" Target="worksheets/sheet261.xml"/><Relationship Id="rId266" Type="http://schemas.openxmlformats.org/officeDocument/2006/relationships/worksheet" Target="worksheets/sheet266.xml"/><Relationship Id="rId287" Type="http://schemas.openxmlformats.org/officeDocument/2006/relationships/worksheet" Target="worksheets/sheet287.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282" Type="http://schemas.openxmlformats.org/officeDocument/2006/relationships/worksheet" Target="worksheets/sheet28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worksheet" Target="worksheets/sheet251.xml"/><Relationship Id="rId256" Type="http://schemas.openxmlformats.org/officeDocument/2006/relationships/worksheet" Target="worksheets/sheet256.xml"/><Relationship Id="rId277" Type="http://schemas.openxmlformats.org/officeDocument/2006/relationships/worksheet" Target="worksheets/sheet277.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72" Type="http://schemas.openxmlformats.org/officeDocument/2006/relationships/worksheet" Target="worksheets/sheet272.xml"/><Relationship Id="rId29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262" Type="http://schemas.openxmlformats.org/officeDocument/2006/relationships/worksheet" Target="worksheets/sheet262.xml"/><Relationship Id="rId283" Type="http://schemas.openxmlformats.org/officeDocument/2006/relationships/worksheet" Target="worksheets/sheet28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sharedStrings" Target="sharedStrings.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calcChain" Target="calcChain.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2" Type="http://schemas.microsoft.com/office/2011/relationships/chartColorStyle" Target="colors153.xml"/><Relationship Id="rId1" Type="http://schemas.microsoft.com/office/2011/relationships/chartStyle" Target="style153.xml"/></Relationships>
</file>

<file path=xl/charts/_rels/chart154.xml.rels><?xml version="1.0" encoding="UTF-8" standalone="yes"?>
<Relationships xmlns="http://schemas.openxmlformats.org/package/2006/relationships"><Relationship Id="rId2" Type="http://schemas.microsoft.com/office/2011/relationships/chartColorStyle" Target="colors154.xml"/><Relationship Id="rId1" Type="http://schemas.microsoft.com/office/2011/relationships/chartStyle" Target="style154.xml"/></Relationships>
</file>

<file path=xl/charts/_rels/chart155.xml.rels><?xml version="1.0" encoding="UTF-8" standalone="yes"?>
<Relationships xmlns="http://schemas.openxmlformats.org/package/2006/relationships"><Relationship Id="rId2" Type="http://schemas.microsoft.com/office/2011/relationships/chartColorStyle" Target="colors155.xml"/><Relationship Id="rId1" Type="http://schemas.microsoft.com/office/2011/relationships/chartStyle" Target="style155.xml"/></Relationships>
</file>

<file path=xl/charts/_rels/chart156.xml.rels><?xml version="1.0" encoding="UTF-8" standalone="yes"?>
<Relationships xmlns="http://schemas.openxmlformats.org/package/2006/relationships"><Relationship Id="rId2" Type="http://schemas.microsoft.com/office/2011/relationships/chartColorStyle" Target="colors156.xml"/><Relationship Id="rId1" Type="http://schemas.microsoft.com/office/2011/relationships/chartStyle" Target="style156.xml"/></Relationships>
</file>

<file path=xl/charts/_rels/chart157.xml.rels><?xml version="1.0" encoding="UTF-8" standalone="yes"?>
<Relationships xmlns="http://schemas.openxmlformats.org/package/2006/relationships"><Relationship Id="rId2" Type="http://schemas.microsoft.com/office/2011/relationships/chartColorStyle" Target="colors157.xml"/><Relationship Id="rId1" Type="http://schemas.microsoft.com/office/2011/relationships/chartStyle" Target="style157.xml"/></Relationships>
</file>

<file path=xl/charts/_rels/chart158.xml.rels><?xml version="1.0" encoding="UTF-8" standalone="yes"?>
<Relationships xmlns="http://schemas.openxmlformats.org/package/2006/relationships"><Relationship Id="rId2" Type="http://schemas.microsoft.com/office/2011/relationships/chartColorStyle" Target="colors158.xml"/><Relationship Id="rId1" Type="http://schemas.microsoft.com/office/2011/relationships/chartStyle" Target="style158.xml"/></Relationships>
</file>

<file path=xl/charts/_rels/chart159.xml.rels><?xml version="1.0" encoding="UTF-8" standalone="yes"?>
<Relationships xmlns="http://schemas.openxmlformats.org/package/2006/relationships"><Relationship Id="rId2" Type="http://schemas.microsoft.com/office/2011/relationships/chartColorStyle" Target="colors159.xml"/><Relationship Id="rId1" Type="http://schemas.microsoft.com/office/2011/relationships/chartStyle" Target="style159.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2" Type="http://schemas.microsoft.com/office/2011/relationships/chartColorStyle" Target="colors160.xml"/><Relationship Id="rId1" Type="http://schemas.microsoft.com/office/2011/relationships/chartStyle" Target="style160.xml"/></Relationships>
</file>

<file path=xl/charts/_rels/chart161.xml.rels><?xml version="1.0" encoding="UTF-8" standalone="yes"?>
<Relationships xmlns="http://schemas.openxmlformats.org/package/2006/relationships"><Relationship Id="rId2" Type="http://schemas.microsoft.com/office/2011/relationships/chartColorStyle" Target="colors161.xml"/><Relationship Id="rId1" Type="http://schemas.microsoft.com/office/2011/relationships/chartStyle" Target="style161.xml"/></Relationships>
</file>

<file path=xl/charts/_rels/chart162.xml.rels><?xml version="1.0" encoding="UTF-8" standalone="yes"?>
<Relationships xmlns="http://schemas.openxmlformats.org/package/2006/relationships"><Relationship Id="rId2" Type="http://schemas.microsoft.com/office/2011/relationships/chartColorStyle" Target="colors162.xml"/><Relationship Id="rId1" Type="http://schemas.microsoft.com/office/2011/relationships/chartStyle" Target="style162.xml"/></Relationships>
</file>

<file path=xl/charts/_rels/chart163.xml.rels><?xml version="1.0" encoding="UTF-8" standalone="yes"?>
<Relationships xmlns="http://schemas.openxmlformats.org/package/2006/relationships"><Relationship Id="rId2" Type="http://schemas.microsoft.com/office/2011/relationships/chartColorStyle" Target="colors163.xml"/><Relationship Id="rId1" Type="http://schemas.microsoft.com/office/2011/relationships/chartStyle" Target="style163.xml"/></Relationships>
</file>

<file path=xl/charts/_rels/chart164.xml.rels><?xml version="1.0" encoding="UTF-8" standalone="yes"?>
<Relationships xmlns="http://schemas.openxmlformats.org/package/2006/relationships"><Relationship Id="rId2" Type="http://schemas.microsoft.com/office/2011/relationships/chartColorStyle" Target="colors164.xml"/><Relationship Id="rId1" Type="http://schemas.microsoft.com/office/2011/relationships/chartStyle" Target="style164.xml"/></Relationships>
</file>

<file path=xl/charts/_rels/chart165.xml.rels><?xml version="1.0" encoding="UTF-8" standalone="yes"?>
<Relationships xmlns="http://schemas.openxmlformats.org/package/2006/relationships"><Relationship Id="rId2" Type="http://schemas.microsoft.com/office/2011/relationships/chartColorStyle" Target="colors165.xml"/><Relationship Id="rId1" Type="http://schemas.microsoft.com/office/2011/relationships/chartStyle" Target="style165.xml"/></Relationships>
</file>

<file path=xl/charts/_rels/chart166.xml.rels><?xml version="1.0" encoding="UTF-8" standalone="yes"?>
<Relationships xmlns="http://schemas.openxmlformats.org/package/2006/relationships"><Relationship Id="rId2" Type="http://schemas.microsoft.com/office/2011/relationships/chartColorStyle" Target="colors166.xml"/><Relationship Id="rId1" Type="http://schemas.microsoft.com/office/2011/relationships/chartStyle" Target="style166.xml"/></Relationships>
</file>

<file path=xl/charts/_rels/chart167.xml.rels><?xml version="1.0" encoding="UTF-8" standalone="yes"?>
<Relationships xmlns="http://schemas.openxmlformats.org/package/2006/relationships"><Relationship Id="rId2" Type="http://schemas.microsoft.com/office/2011/relationships/chartColorStyle" Target="colors167.xml"/><Relationship Id="rId1" Type="http://schemas.microsoft.com/office/2011/relationships/chartStyle" Target="style167.xml"/></Relationships>
</file>

<file path=xl/charts/_rels/chart168.xml.rels><?xml version="1.0" encoding="UTF-8" standalone="yes"?>
<Relationships xmlns="http://schemas.openxmlformats.org/package/2006/relationships"><Relationship Id="rId2" Type="http://schemas.microsoft.com/office/2011/relationships/chartColorStyle" Target="colors168.xml"/><Relationship Id="rId1" Type="http://schemas.microsoft.com/office/2011/relationships/chartStyle" Target="style168.xml"/></Relationships>
</file>

<file path=xl/charts/_rels/chart169.xml.rels><?xml version="1.0" encoding="UTF-8" standalone="yes"?>
<Relationships xmlns="http://schemas.openxmlformats.org/package/2006/relationships"><Relationship Id="rId2" Type="http://schemas.microsoft.com/office/2011/relationships/chartColorStyle" Target="colors169.xml"/><Relationship Id="rId1" Type="http://schemas.microsoft.com/office/2011/relationships/chartStyle" Target="style169.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2" Type="http://schemas.microsoft.com/office/2011/relationships/chartColorStyle" Target="colors170.xml"/><Relationship Id="rId1" Type="http://schemas.microsoft.com/office/2011/relationships/chartStyle" Target="style170.xml"/></Relationships>
</file>

<file path=xl/charts/_rels/chart171.xml.rels><?xml version="1.0" encoding="UTF-8" standalone="yes"?>
<Relationships xmlns="http://schemas.openxmlformats.org/package/2006/relationships"><Relationship Id="rId2" Type="http://schemas.microsoft.com/office/2011/relationships/chartColorStyle" Target="colors171.xml"/><Relationship Id="rId1" Type="http://schemas.microsoft.com/office/2011/relationships/chartStyle" Target="style171.xml"/></Relationships>
</file>

<file path=xl/charts/_rels/chart172.xml.rels><?xml version="1.0" encoding="UTF-8" standalone="yes"?>
<Relationships xmlns="http://schemas.openxmlformats.org/package/2006/relationships"><Relationship Id="rId2" Type="http://schemas.microsoft.com/office/2011/relationships/chartColorStyle" Target="colors172.xml"/><Relationship Id="rId1" Type="http://schemas.microsoft.com/office/2011/relationships/chartStyle" Target="style172.xml"/></Relationships>
</file>

<file path=xl/charts/_rels/chart173.xml.rels><?xml version="1.0" encoding="UTF-8" standalone="yes"?>
<Relationships xmlns="http://schemas.openxmlformats.org/package/2006/relationships"><Relationship Id="rId2" Type="http://schemas.microsoft.com/office/2011/relationships/chartColorStyle" Target="colors173.xml"/><Relationship Id="rId1" Type="http://schemas.microsoft.com/office/2011/relationships/chartStyle" Target="style173.xml"/></Relationships>
</file>

<file path=xl/charts/_rels/chart174.xml.rels><?xml version="1.0" encoding="UTF-8" standalone="yes"?>
<Relationships xmlns="http://schemas.openxmlformats.org/package/2006/relationships"><Relationship Id="rId2" Type="http://schemas.microsoft.com/office/2011/relationships/chartColorStyle" Target="colors174.xml"/><Relationship Id="rId1" Type="http://schemas.microsoft.com/office/2011/relationships/chartStyle" Target="style174.xml"/></Relationships>
</file>

<file path=xl/charts/_rels/chart175.xml.rels><?xml version="1.0" encoding="UTF-8" standalone="yes"?>
<Relationships xmlns="http://schemas.openxmlformats.org/package/2006/relationships"><Relationship Id="rId2" Type="http://schemas.microsoft.com/office/2011/relationships/chartColorStyle" Target="colors175.xml"/><Relationship Id="rId1" Type="http://schemas.microsoft.com/office/2011/relationships/chartStyle" Target="style175.xml"/></Relationships>
</file>

<file path=xl/charts/_rels/chart176.xml.rels><?xml version="1.0" encoding="UTF-8" standalone="yes"?>
<Relationships xmlns="http://schemas.openxmlformats.org/package/2006/relationships"><Relationship Id="rId2" Type="http://schemas.microsoft.com/office/2011/relationships/chartColorStyle" Target="colors176.xml"/><Relationship Id="rId1" Type="http://schemas.microsoft.com/office/2011/relationships/chartStyle" Target="style176.xml"/></Relationships>
</file>

<file path=xl/charts/_rels/chart177.xml.rels><?xml version="1.0" encoding="UTF-8" standalone="yes"?>
<Relationships xmlns="http://schemas.openxmlformats.org/package/2006/relationships"><Relationship Id="rId2" Type="http://schemas.microsoft.com/office/2011/relationships/chartColorStyle" Target="colors177.xml"/><Relationship Id="rId1" Type="http://schemas.microsoft.com/office/2011/relationships/chartStyle" Target="style177.xml"/></Relationships>
</file>

<file path=xl/charts/_rels/chart178.xml.rels><?xml version="1.0" encoding="UTF-8" standalone="yes"?>
<Relationships xmlns="http://schemas.openxmlformats.org/package/2006/relationships"><Relationship Id="rId2" Type="http://schemas.microsoft.com/office/2011/relationships/chartColorStyle" Target="colors178.xml"/><Relationship Id="rId1" Type="http://schemas.microsoft.com/office/2011/relationships/chartStyle" Target="style178.xml"/></Relationships>
</file>

<file path=xl/charts/_rels/chart179.xml.rels><?xml version="1.0" encoding="UTF-8" standalone="yes"?>
<Relationships xmlns="http://schemas.openxmlformats.org/package/2006/relationships"><Relationship Id="rId2" Type="http://schemas.microsoft.com/office/2011/relationships/chartColorStyle" Target="colors179.xml"/><Relationship Id="rId1" Type="http://schemas.microsoft.com/office/2011/relationships/chartStyle" Target="style179.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0.xml.rels><?xml version="1.0" encoding="UTF-8" standalone="yes"?>
<Relationships xmlns="http://schemas.openxmlformats.org/package/2006/relationships"><Relationship Id="rId2" Type="http://schemas.microsoft.com/office/2011/relationships/chartColorStyle" Target="colors180.xml"/><Relationship Id="rId1" Type="http://schemas.microsoft.com/office/2011/relationships/chartStyle" Target="style180.xml"/></Relationships>
</file>

<file path=xl/charts/_rels/chart181.xml.rels><?xml version="1.0" encoding="UTF-8" standalone="yes"?>
<Relationships xmlns="http://schemas.openxmlformats.org/package/2006/relationships"><Relationship Id="rId2" Type="http://schemas.microsoft.com/office/2011/relationships/chartColorStyle" Target="colors181.xml"/><Relationship Id="rId1" Type="http://schemas.microsoft.com/office/2011/relationships/chartStyle" Target="style181.xml"/></Relationships>
</file>

<file path=xl/charts/_rels/chart182.xml.rels><?xml version="1.0" encoding="UTF-8" standalone="yes"?>
<Relationships xmlns="http://schemas.openxmlformats.org/package/2006/relationships"><Relationship Id="rId2" Type="http://schemas.microsoft.com/office/2011/relationships/chartColorStyle" Target="colors182.xml"/><Relationship Id="rId1" Type="http://schemas.microsoft.com/office/2011/relationships/chartStyle" Target="style182.xml"/></Relationships>
</file>

<file path=xl/charts/_rels/chart183.xml.rels><?xml version="1.0" encoding="UTF-8" standalone="yes"?>
<Relationships xmlns="http://schemas.openxmlformats.org/package/2006/relationships"><Relationship Id="rId2" Type="http://schemas.microsoft.com/office/2011/relationships/chartColorStyle" Target="colors183.xml"/><Relationship Id="rId1" Type="http://schemas.microsoft.com/office/2011/relationships/chartStyle" Target="style183.xml"/></Relationships>
</file>

<file path=xl/charts/_rels/chart184.xml.rels><?xml version="1.0" encoding="UTF-8" standalone="yes"?>
<Relationships xmlns="http://schemas.openxmlformats.org/package/2006/relationships"><Relationship Id="rId2" Type="http://schemas.microsoft.com/office/2011/relationships/chartColorStyle" Target="colors184.xml"/><Relationship Id="rId1" Type="http://schemas.microsoft.com/office/2011/relationships/chartStyle" Target="style184.xml"/></Relationships>
</file>

<file path=xl/charts/_rels/chart185.xml.rels><?xml version="1.0" encoding="UTF-8" standalone="yes"?>
<Relationships xmlns="http://schemas.openxmlformats.org/package/2006/relationships"><Relationship Id="rId2" Type="http://schemas.microsoft.com/office/2011/relationships/chartColorStyle" Target="colors185.xml"/><Relationship Id="rId1" Type="http://schemas.microsoft.com/office/2011/relationships/chartStyle" Target="style185.xml"/></Relationships>
</file>

<file path=xl/charts/_rels/chart186.xml.rels><?xml version="1.0" encoding="UTF-8" standalone="yes"?>
<Relationships xmlns="http://schemas.openxmlformats.org/package/2006/relationships"><Relationship Id="rId2" Type="http://schemas.microsoft.com/office/2011/relationships/chartColorStyle" Target="colors186.xml"/><Relationship Id="rId1" Type="http://schemas.microsoft.com/office/2011/relationships/chartStyle" Target="style186.xml"/></Relationships>
</file>

<file path=xl/charts/_rels/chart187.xml.rels><?xml version="1.0" encoding="UTF-8" standalone="yes"?>
<Relationships xmlns="http://schemas.openxmlformats.org/package/2006/relationships"><Relationship Id="rId2" Type="http://schemas.microsoft.com/office/2011/relationships/chartColorStyle" Target="colors187.xml"/><Relationship Id="rId1" Type="http://schemas.microsoft.com/office/2011/relationships/chartStyle" Target="style187.xml"/></Relationships>
</file>

<file path=xl/charts/_rels/chart188.xml.rels><?xml version="1.0" encoding="UTF-8" standalone="yes"?>
<Relationships xmlns="http://schemas.openxmlformats.org/package/2006/relationships"><Relationship Id="rId2" Type="http://schemas.microsoft.com/office/2011/relationships/chartColorStyle" Target="colors188.xml"/><Relationship Id="rId1" Type="http://schemas.microsoft.com/office/2011/relationships/chartStyle" Target="style188.xml"/></Relationships>
</file>

<file path=xl/charts/_rels/chart189.xml.rels><?xml version="1.0" encoding="UTF-8" standalone="yes"?>
<Relationships xmlns="http://schemas.openxmlformats.org/package/2006/relationships"><Relationship Id="rId2" Type="http://schemas.microsoft.com/office/2011/relationships/chartColorStyle" Target="colors189.xml"/><Relationship Id="rId1" Type="http://schemas.microsoft.com/office/2011/relationships/chartStyle" Target="style189.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90.xml.rels><?xml version="1.0" encoding="UTF-8" standalone="yes"?>
<Relationships xmlns="http://schemas.openxmlformats.org/package/2006/relationships"><Relationship Id="rId2" Type="http://schemas.microsoft.com/office/2011/relationships/chartColorStyle" Target="colors190.xml"/><Relationship Id="rId1" Type="http://schemas.microsoft.com/office/2011/relationships/chartStyle" Target="style190.xml"/></Relationships>
</file>

<file path=xl/charts/_rels/chart191.xml.rels><?xml version="1.0" encoding="UTF-8" standalone="yes"?>
<Relationships xmlns="http://schemas.openxmlformats.org/package/2006/relationships"><Relationship Id="rId2" Type="http://schemas.microsoft.com/office/2011/relationships/chartColorStyle" Target="colors191.xml"/><Relationship Id="rId1" Type="http://schemas.microsoft.com/office/2011/relationships/chartStyle" Target="style191.xml"/></Relationships>
</file>

<file path=xl/charts/_rels/chart192.xml.rels><?xml version="1.0" encoding="UTF-8" standalone="yes"?>
<Relationships xmlns="http://schemas.openxmlformats.org/package/2006/relationships"><Relationship Id="rId2" Type="http://schemas.microsoft.com/office/2011/relationships/chartColorStyle" Target="colors192.xml"/><Relationship Id="rId1" Type="http://schemas.microsoft.com/office/2011/relationships/chartStyle" Target="style192.xml"/></Relationships>
</file>

<file path=xl/charts/_rels/chart193.xml.rels><?xml version="1.0" encoding="UTF-8" standalone="yes"?>
<Relationships xmlns="http://schemas.openxmlformats.org/package/2006/relationships"><Relationship Id="rId2" Type="http://schemas.microsoft.com/office/2011/relationships/chartColorStyle" Target="colors193.xml"/><Relationship Id="rId1" Type="http://schemas.microsoft.com/office/2011/relationships/chartStyle" Target="style193.xml"/></Relationships>
</file>

<file path=xl/charts/_rels/chart194.xml.rels><?xml version="1.0" encoding="UTF-8" standalone="yes"?>
<Relationships xmlns="http://schemas.openxmlformats.org/package/2006/relationships"><Relationship Id="rId2" Type="http://schemas.microsoft.com/office/2011/relationships/chartColorStyle" Target="colors194.xml"/><Relationship Id="rId1" Type="http://schemas.microsoft.com/office/2011/relationships/chartStyle" Target="style194.xml"/></Relationships>
</file>

<file path=xl/charts/_rels/chart195.xml.rels><?xml version="1.0" encoding="UTF-8" standalone="yes"?>
<Relationships xmlns="http://schemas.openxmlformats.org/package/2006/relationships"><Relationship Id="rId2" Type="http://schemas.microsoft.com/office/2011/relationships/chartColorStyle" Target="colors195.xml"/><Relationship Id="rId1" Type="http://schemas.microsoft.com/office/2011/relationships/chartStyle" Target="style195.xml"/></Relationships>
</file>

<file path=xl/charts/_rels/chart196.xml.rels><?xml version="1.0" encoding="UTF-8" standalone="yes"?>
<Relationships xmlns="http://schemas.openxmlformats.org/package/2006/relationships"><Relationship Id="rId2" Type="http://schemas.microsoft.com/office/2011/relationships/chartColorStyle" Target="colors196.xml"/><Relationship Id="rId1" Type="http://schemas.microsoft.com/office/2011/relationships/chartStyle" Target="style196.xml"/></Relationships>
</file>

<file path=xl/charts/_rels/chart197.xml.rels><?xml version="1.0" encoding="UTF-8" standalone="yes"?>
<Relationships xmlns="http://schemas.openxmlformats.org/package/2006/relationships"><Relationship Id="rId2" Type="http://schemas.microsoft.com/office/2011/relationships/chartColorStyle" Target="colors197.xml"/><Relationship Id="rId1" Type="http://schemas.microsoft.com/office/2011/relationships/chartStyle" Target="style197.xml"/></Relationships>
</file>

<file path=xl/charts/_rels/chart198.xml.rels><?xml version="1.0" encoding="UTF-8" standalone="yes"?>
<Relationships xmlns="http://schemas.openxmlformats.org/package/2006/relationships"><Relationship Id="rId2" Type="http://schemas.microsoft.com/office/2011/relationships/chartColorStyle" Target="colors198.xml"/><Relationship Id="rId1" Type="http://schemas.microsoft.com/office/2011/relationships/chartStyle" Target="style198.xml"/></Relationships>
</file>

<file path=xl/charts/_rels/chart199.xml.rels><?xml version="1.0" encoding="UTF-8" standalone="yes"?>
<Relationships xmlns="http://schemas.openxmlformats.org/package/2006/relationships"><Relationship Id="rId2" Type="http://schemas.microsoft.com/office/2011/relationships/chartColorStyle" Target="colors199.xml"/><Relationship Id="rId1" Type="http://schemas.microsoft.com/office/2011/relationships/chartStyle" Target="style19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00.xml.rels><?xml version="1.0" encoding="UTF-8" standalone="yes"?>
<Relationships xmlns="http://schemas.openxmlformats.org/package/2006/relationships"><Relationship Id="rId2" Type="http://schemas.microsoft.com/office/2011/relationships/chartColorStyle" Target="colors200.xml"/><Relationship Id="rId1" Type="http://schemas.microsoft.com/office/2011/relationships/chartStyle" Target="style200.xml"/></Relationships>
</file>

<file path=xl/charts/_rels/chart201.xml.rels><?xml version="1.0" encoding="UTF-8" standalone="yes"?>
<Relationships xmlns="http://schemas.openxmlformats.org/package/2006/relationships"><Relationship Id="rId2" Type="http://schemas.microsoft.com/office/2011/relationships/chartColorStyle" Target="colors201.xml"/><Relationship Id="rId1" Type="http://schemas.microsoft.com/office/2011/relationships/chartStyle" Target="style201.xml"/></Relationships>
</file>

<file path=xl/charts/_rels/chart202.xml.rels><?xml version="1.0" encoding="UTF-8" standalone="yes"?>
<Relationships xmlns="http://schemas.openxmlformats.org/package/2006/relationships"><Relationship Id="rId2" Type="http://schemas.microsoft.com/office/2011/relationships/chartColorStyle" Target="colors202.xml"/><Relationship Id="rId1" Type="http://schemas.microsoft.com/office/2011/relationships/chartStyle" Target="style202.xml"/></Relationships>
</file>

<file path=xl/charts/_rels/chart203.xml.rels><?xml version="1.0" encoding="UTF-8" standalone="yes"?>
<Relationships xmlns="http://schemas.openxmlformats.org/package/2006/relationships"><Relationship Id="rId2" Type="http://schemas.microsoft.com/office/2011/relationships/chartColorStyle" Target="colors203.xml"/><Relationship Id="rId1" Type="http://schemas.microsoft.com/office/2011/relationships/chartStyle" Target="style203.xml"/></Relationships>
</file>

<file path=xl/charts/_rels/chart204.xml.rels><?xml version="1.0" encoding="UTF-8" standalone="yes"?>
<Relationships xmlns="http://schemas.openxmlformats.org/package/2006/relationships"><Relationship Id="rId2" Type="http://schemas.microsoft.com/office/2011/relationships/chartColorStyle" Target="colors204.xml"/><Relationship Id="rId1" Type="http://schemas.microsoft.com/office/2011/relationships/chartStyle" Target="style204.xml"/></Relationships>
</file>

<file path=xl/charts/_rels/chart205.xml.rels><?xml version="1.0" encoding="UTF-8" standalone="yes"?>
<Relationships xmlns="http://schemas.openxmlformats.org/package/2006/relationships"><Relationship Id="rId2" Type="http://schemas.microsoft.com/office/2011/relationships/chartColorStyle" Target="colors205.xml"/><Relationship Id="rId1" Type="http://schemas.microsoft.com/office/2011/relationships/chartStyle" Target="style205.xml"/></Relationships>
</file>

<file path=xl/charts/_rels/chart206.xml.rels><?xml version="1.0" encoding="UTF-8" standalone="yes"?>
<Relationships xmlns="http://schemas.openxmlformats.org/package/2006/relationships"><Relationship Id="rId2" Type="http://schemas.microsoft.com/office/2011/relationships/chartColorStyle" Target="colors206.xml"/><Relationship Id="rId1" Type="http://schemas.microsoft.com/office/2011/relationships/chartStyle" Target="style206.xml"/></Relationships>
</file>

<file path=xl/charts/_rels/chart207.xml.rels><?xml version="1.0" encoding="UTF-8" standalone="yes"?>
<Relationships xmlns="http://schemas.openxmlformats.org/package/2006/relationships"><Relationship Id="rId2" Type="http://schemas.microsoft.com/office/2011/relationships/chartColorStyle" Target="colors207.xml"/><Relationship Id="rId1" Type="http://schemas.microsoft.com/office/2011/relationships/chartStyle" Target="style207.xml"/></Relationships>
</file>

<file path=xl/charts/_rels/chart208.xml.rels><?xml version="1.0" encoding="UTF-8" standalone="yes"?>
<Relationships xmlns="http://schemas.openxmlformats.org/package/2006/relationships"><Relationship Id="rId2" Type="http://schemas.microsoft.com/office/2011/relationships/chartColorStyle" Target="colors208.xml"/><Relationship Id="rId1" Type="http://schemas.microsoft.com/office/2011/relationships/chartStyle" Target="style208.xml"/></Relationships>
</file>

<file path=xl/charts/_rels/chart209.xml.rels><?xml version="1.0" encoding="UTF-8" standalone="yes"?>
<Relationships xmlns="http://schemas.openxmlformats.org/package/2006/relationships"><Relationship Id="rId2" Type="http://schemas.microsoft.com/office/2011/relationships/chartColorStyle" Target="colors209.xml"/><Relationship Id="rId1" Type="http://schemas.microsoft.com/office/2011/relationships/chartStyle" Target="style209.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10.xml.rels><?xml version="1.0" encoding="UTF-8" standalone="yes"?>
<Relationships xmlns="http://schemas.openxmlformats.org/package/2006/relationships"><Relationship Id="rId2" Type="http://schemas.microsoft.com/office/2011/relationships/chartColorStyle" Target="colors210.xml"/><Relationship Id="rId1" Type="http://schemas.microsoft.com/office/2011/relationships/chartStyle" Target="style210.xml"/></Relationships>
</file>

<file path=xl/charts/_rels/chart211.xml.rels><?xml version="1.0" encoding="UTF-8" standalone="yes"?>
<Relationships xmlns="http://schemas.openxmlformats.org/package/2006/relationships"><Relationship Id="rId2" Type="http://schemas.microsoft.com/office/2011/relationships/chartColorStyle" Target="colors211.xml"/><Relationship Id="rId1" Type="http://schemas.microsoft.com/office/2011/relationships/chartStyle" Target="style211.xml"/></Relationships>
</file>

<file path=xl/charts/_rels/chart212.xml.rels><?xml version="1.0" encoding="UTF-8" standalone="yes"?>
<Relationships xmlns="http://schemas.openxmlformats.org/package/2006/relationships"><Relationship Id="rId2" Type="http://schemas.microsoft.com/office/2011/relationships/chartColorStyle" Target="colors212.xml"/><Relationship Id="rId1" Type="http://schemas.microsoft.com/office/2011/relationships/chartStyle" Target="style212.xml"/></Relationships>
</file>

<file path=xl/charts/_rels/chart213.xml.rels><?xml version="1.0" encoding="UTF-8" standalone="yes"?>
<Relationships xmlns="http://schemas.openxmlformats.org/package/2006/relationships"><Relationship Id="rId2" Type="http://schemas.microsoft.com/office/2011/relationships/chartColorStyle" Target="colors213.xml"/><Relationship Id="rId1" Type="http://schemas.microsoft.com/office/2011/relationships/chartStyle" Target="style213.xml"/></Relationships>
</file>

<file path=xl/charts/_rels/chart214.xml.rels><?xml version="1.0" encoding="UTF-8" standalone="yes"?>
<Relationships xmlns="http://schemas.openxmlformats.org/package/2006/relationships"><Relationship Id="rId2" Type="http://schemas.microsoft.com/office/2011/relationships/chartColorStyle" Target="colors214.xml"/><Relationship Id="rId1" Type="http://schemas.microsoft.com/office/2011/relationships/chartStyle" Target="style214.xml"/></Relationships>
</file>

<file path=xl/charts/_rels/chart215.xml.rels><?xml version="1.0" encoding="UTF-8" standalone="yes"?>
<Relationships xmlns="http://schemas.openxmlformats.org/package/2006/relationships"><Relationship Id="rId2" Type="http://schemas.microsoft.com/office/2011/relationships/chartColorStyle" Target="colors215.xml"/><Relationship Id="rId1" Type="http://schemas.microsoft.com/office/2011/relationships/chartStyle" Target="style215.xml"/></Relationships>
</file>

<file path=xl/charts/_rels/chart216.xml.rels><?xml version="1.0" encoding="UTF-8" standalone="yes"?>
<Relationships xmlns="http://schemas.openxmlformats.org/package/2006/relationships"><Relationship Id="rId2" Type="http://schemas.microsoft.com/office/2011/relationships/chartColorStyle" Target="colors216.xml"/><Relationship Id="rId1" Type="http://schemas.microsoft.com/office/2011/relationships/chartStyle" Target="style216.xml"/></Relationships>
</file>

<file path=xl/charts/_rels/chart217.xml.rels><?xml version="1.0" encoding="UTF-8" standalone="yes"?>
<Relationships xmlns="http://schemas.openxmlformats.org/package/2006/relationships"><Relationship Id="rId2" Type="http://schemas.microsoft.com/office/2011/relationships/chartColorStyle" Target="colors217.xml"/><Relationship Id="rId1" Type="http://schemas.microsoft.com/office/2011/relationships/chartStyle" Target="style217.xml"/></Relationships>
</file>

<file path=xl/charts/_rels/chart218.xml.rels><?xml version="1.0" encoding="UTF-8" standalone="yes"?>
<Relationships xmlns="http://schemas.openxmlformats.org/package/2006/relationships"><Relationship Id="rId2" Type="http://schemas.microsoft.com/office/2011/relationships/chartColorStyle" Target="colors218.xml"/><Relationship Id="rId1" Type="http://schemas.microsoft.com/office/2011/relationships/chartStyle" Target="style218.xml"/></Relationships>
</file>

<file path=xl/charts/_rels/chart219.xml.rels><?xml version="1.0" encoding="UTF-8" standalone="yes"?>
<Relationships xmlns="http://schemas.openxmlformats.org/package/2006/relationships"><Relationship Id="rId2" Type="http://schemas.microsoft.com/office/2011/relationships/chartColorStyle" Target="colors219.xml"/><Relationship Id="rId1" Type="http://schemas.microsoft.com/office/2011/relationships/chartStyle" Target="style219.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20.xml.rels><?xml version="1.0" encoding="UTF-8" standalone="yes"?>
<Relationships xmlns="http://schemas.openxmlformats.org/package/2006/relationships"><Relationship Id="rId2" Type="http://schemas.microsoft.com/office/2011/relationships/chartColorStyle" Target="colors220.xml"/><Relationship Id="rId1" Type="http://schemas.microsoft.com/office/2011/relationships/chartStyle" Target="style220.xml"/></Relationships>
</file>

<file path=xl/charts/_rels/chart221.xml.rels><?xml version="1.0" encoding="UTF-8" standalone="yes"?>
<Relationships xmlns="http://schemas.openxmlformats.org/package/2006/relationships"><Relationship Id="rId2" Type="http://schemas.microsoft.com/office/2011/relationships/chartColorStyle" Target="colors221.xml"/><Relationship Id="rId1" Type="http://schemas.microsoft.com/office/2011/relationships/chartStyle" Target="style221.xml"/></Relationships>
</file>

<file path=xl/charts/_rels/chart222.xml.rels><?xml version="1.0" encoding="UTF-8" standalone="yes"?>
<Relationships xmlns="http://schemas.openxmlformats.org/package/2006/relationships"><Relationship Id="rId2" Type="http://schemas.microsoft.com/office/2011/relationships/chartColorStyle" Target="colors222.xml"/><Relationship Id="rId1" Type="http://schemas.microsoft.com/office/2011/relationships/chartStyle" Target="style222.xml"/></Relationships>
</file>

<file path=xl/charts/_rels/chart223.xml.rels><?xml version="1.0" encoding="UTF-8" standalone="yes"?>
<Relationships xmlns="http://schemas.openxmlformats.org/package/2006/relationships"><Relationship Id="rId2" Type="http://schemas.microsoft.com/office/2011/relationships/chartColorStyle" Target="colors223.xml"/><Relationship Id="rId1" Type="http://schemas.microsoft.com/office/2011/relationships/chartStyle" Target="style223.xml"/></Relationships>
</file>

<file path=xl/charts/_rels/chart224.xml.rels><?xml version="1.0" encoding="UTF-8" standalone="yes"?>
<Relationships xmlns="http://schemas.openxmlformats.org/package/2006/relationships"><Relationship Id="rId2" Type="http://schemas.microsoft.com/office/2011/relationships/chartColorStyle" Target="colors224.xml"/><Relationship Id="rId1" Type="http://schemas.microsoft.com/office/2011/relationships/chartStyle" Target="style224.xml"/></Relationships>
</file>

<file path=xl/charts/_rels/chart225.xml.rels><?xml version="1.0" encoding="UTF-8" standalone="yes"?>
<Relationships xmlns="http://schemas.openxmlformats.org/package/2006/relationships"><Relationship Id="rId2" Type="http://schemas.microsoft.com/office/2011/relationships/chartColorStyle" Target="colors225.xml"/><Relationship Id="rId1" Type="http://schemas.microsoft.com/office/2011/relationships/chartStyle" Target="style225.xml"/></Relationships>
</file>

<file path=xl/charts/_rels/chart226.xml.rels><?xml version="1.0" encoding="UTF-8" standalone="yes"?>
<Relationships xmlns="http://schemas.openxmlformats.org/package/2006/relationships"><Relationship Id="rId2" Type="http://schemas.microsoft.com/office/2011/relationships/chartColorStyle" Target="colors226.xml"/><Relationship Id="rId1" Type="http://schemas.microsoft.com/office/2011/relationships/chartStyle" Target="style226.xml"/></Relationships>
</file>

<file path=xl/charts/_rels/chart227.xml.rels><?xml version="1.0" encoding="UTF-8" standalone="yes"?>
<Relationships xmlns="http://schemas.openxmlformats.org/package/2006/relationships"><Relationship Id="rId2" Type="http://schemas.microsoft.com/office/2011/relationships/chartColorStyle" Target="colors227.xml"/><Relationship Id="rId1" Type="http://schemas.microsoft.com/office/2011/relationships/chartStyle" Target="style227.xml"/></Relationships>
</file>

<file path=xl/charts/_rels/chart228.xml.rels><?xml version="1.0" encoding="UTF-8" standalone="yes"?>
<Relationships xmlns="http://schemas.openxmlformats.org/package/2006/relationships"><Relationship Id="rId2" Type="http://schemas.microsoft.com/office/2011/relationships/chartColorStyle" Target="colors228.xml"/><Relationship Id="rId1" Type="http://schemas.microsoft.com/office/2011/relationships/chartStyle" Target="style228.xml"/></Relationships>
</file>

<file path=xl/charts/_rels/chart229.xml.rels><?xml version="1.0" encoding="UTF-8" standalone="yes"?>
<Relationships xmlns="http://schemas.openxmlformats.org/package/2006/relationships"><Relationship Id="rId2" Type="http://schemas.microsoft.com/office/2011/relationships/chartColorStyle" Target="colors229.xml"/><Relationship Id="rId1" Type="http://schemas.microsoft.com/office/2011/relationships/chartStyle" Target="style229.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30.xml.rels><?xml version="1.0" encoding="UTF-8" standalone="yes"?>
<Relationships xmlns="http://schemas.openxmlformats.org/package/2006/relationships"><Relationship Id="rId2" Type="http://schemas.microsoft.com/office/2011/relationships/chartColorStyle" Target="colors230.xml"/><Relationship Id="rId1" Type="http://schemas.microsoft.com/office/2011/relationships/chartStyle" Target="style230.xml"/></Relationships>
</file>

<file path=xl/charts/_rels/chart231.xml.rels><?xml version="1.0" encoding="UTF-8" standalone="yes"?>
<Relationships xmlns="http://schemas.openxmlformats.org/package/2006/relationships"><Relationship Id="rId2" Type="http://schemas.microsoft.com/office/2011/relationships/chartColorStyle" Target="colors231.xml"/><Relationship Id="rId1" Type="http://schemas.microsoft.com/office/2011/relationships/chartStyle" Target="style231.xml"/></Relationships>
</file>

<file path=xl/charts/_rels/chart232.xml.rels><?xml version="1.0" encoding="UTF-8" standalone="yes"?>
<Relationships xmlns="http://schemas.openxmlformats.org/package/2006/relationships"><Relationship Id="rId2" Type="http://schemas.microsoft.com/office/2011/relationships/chartColorStyle" Target="colors232.xml"/><Relationship Id="rId1" Type="http://schemas.microsoft.com/office/2011/relationships/chartStyle" Target="style232.xml"/></Relationships>
</file>

<file path=xl/charts/_rels/chart233.xml.rels><?xml version="1.0" encoding="UTF-8" standalone="yes"?>
<Relationships xmlns="http://schemas.openxmlformats.org/package/2006/relationships"><Relationship Id="rId2" Type="http://schemas.microsoft.com/office/2011/relationships/chartColorStyle" Target="colors233.xml"/><Relationship Id="rId1" Type="http://schemas.microsoft.com/office/2011/relationships/chartStyle" Target="style233.xml"/></Relationships>
</file>

<file path=xl/charts/_rels/chart234.xml.rels><?xml version="1.0" encoding="UTF-8" standalone="yes"?>
<Relationships xmlns="http://schemas.openxmlformats.org/package/2006/relationships"><Relationship Id="rId2" Type="http://schemas.microsoft.com/office/2011/relationships/chartColorStyle" Target="colors234.xml"/><Relationship Id="rId1" Type="http://schemas.microsoft.com/office/2011/relationships/chartStyle" Target="style234.xml"/></Relationships>
</file>

<file path=xl/charts/_rels/chart235.xml.rels><?xml version="1.0" encoding="UTF-8" standalone="yes"?>
<Relationships xmlns="http://schemas.openxmlformats.org/package/2006/relationships"><Relationship Id="rId2" Type="http://schemas.microsoft.com/office/2011/relationships/chartColorStyle" Target="colors235.xml"/><Relationship Id="rId1" Type="http://schemas.microsoft.com/office/2011/relationships/chartStyle" Target="style235.xml"/></Relationships>
</file>

<file path=xl/charts/_rels/chart236.xml.rels><?xml version="1.0" encoding="UTF-8" standalone="yes"?>
<Relationships xmlns="http://schemas.openxmlformats.org/package/2006/relationships"><Relationship Id="rId2" Type="http://schemas.microsoft.com/office/2011/relationships/chartColorStyle" Target="colors236.xml"/><Relationship Id="rId1" Type="http://schemas.microsoft.com/office/2011/relationships/chartStyle" Target="style236.xml"/></Relationships>
</file>

<file path=xl/charts/_rels/chart237.xml.rels><?xml version="1.0" encoding="UTF-8" standalone="yes"?>
<Relationships xmlns="http://schemas.openxmlformats.org/package/2006/relationships"><Relationship Id="rId2" Type="http://schemas.microsoft.com/office/2011/relationships/chartColorStyle" Target="colors237.xml"/><Relationship Id="rId1" Type="http://schemas.microsoft.com/office/2011/relationships/chartStyle" Target="style237.xml"/></Relationships>
</file>

<file path=xl/charts/_rels/chart238.xml.rels><?xml version="1.0" encoding="UTF-8" standalone="yes"?>
<Relationships xmlns="http://schemas.openxmlformats.org/package/2006/relationships"><Relationship Id="rId2" Type="http://schemas.microsoft.com/office/2011/relationships/chartColorStyle" Target="colors238.xml"/><Relationship Id="rId1" Type="http://schemas.microsoft.com/office/2011/relationships/chartStyle" Target="style238.xml"/></Relationships>
</file>

<file path=xl/charts/_rels/chart239.xml.rels><?xml version="1.0" encoding="UTF-8" standalone="yes"?>
<Relationships xmlns="http://schemas.openxmlformats.org/package/2006/relationships"><Relationship Id="rId2" Type="http://schemas.microsoft.com/office/2011/relationships/chartColorStyle" Target="colors239.xml"/><Relationship Id="rId1" Type="http://schemas.microsoft.com/office/2011/relationships/chartStyle" Target="style239.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40.xml.rels><?xml version="1.0" encoding="UTF-8" standalone="yes"?>
<Relationships xmlns="http://schemas.openxmlformats.org/package/2006/relationships"><Relationship Id="rId2" Type="http://schemas.microsoft.com/office/2011/relationships/chartColorStyle" Target="colors240.xml"/><Relationship Id="rId1" Type="http://schemas.microsoft.com/office/2011/relationships/chartStyle" Target="style240.xml"/></Relationships>
</file>

<file path=xl/charts/_rels/chart241.xml.rels><?xml version="1.0" encoding="UTF-8" standalone="yes"?>
<Relationships xmlns="http://schemas.openxmlformats.org/package/2006/relationships"><Relationship Id="rId2" Type="http://schemas.microsoft.com/office/2011/relationships/chartColorStyle" Target="colors241.xml"/><Relationship Id="rId1" Type="http://schemas.microsoft.com/office/2011/relationships/chartStyle" Target="style241.xml"/></Relationships>
</file>

<file path=xl/charts/_rels/chart242.xml.rels><?xml version="1.0" encoding="UTF-8" standalone="yes"?>
<Relationships xmlns="http://schemas.openxmlformats.org/package/2006/relationships"><Relationship Id="rId2" Type="http://schemas.microsoft.com/office/2011/relationships/chartColorStyle" Target="colors242.xml"/><Relationship Id="rId1" Type="http://schemas.microsoft.com/office/2011/relationships/chartStyle" Target="style242.xml"/></Relationships>
</file>

<file path=xl/charts/_rels/chart243.xml.rels><?xml version="1.0" encoding="UTF-8" standalone="yes"?>
<Relationships xmlns="http://schemas.openxmlformats.org/package/2006/relationships"><Relationship Id="rId2" Type="http://schemas.microsoft.com/office/2011/relationships/chartColorStyle" Target="colors243.xml"/><Relationship Id="rId1" Type="http://schemas.microsoft.com/office/2011/relationships/chartStyle" Target="style243.xml"/></Relationships>
</file>

<file path=xl/charts/_rels/chart244.xml.rels><?xml version="1.0" encoding="UTF-8" standalone="yes"?>
<Relationships xmlns="http://schemas.openxmlformats.org/package/2006/relationships"><Relationship Id="rId2" Type="http://schemas.microsoft.com/office/2011/relationships/chartColorStyle" Target="colors244.xml"/><Relationship Id="rId1" Type="http://schemas.microsoft.com/office/2011/relationships/chartStyle" Target="style244.xml"/></Relationships>
</file>

<file path=xl/charts/_rels/chart245.xml.rels><?xml version="1.0" encoding="UTF-8" standalone="yes"?>
<Relationships xmlns="http://schemas.openxmlformats.org/package/2006/relationships"><Relationship Id="rId2" Type="http://schemas.microsoft.com/office/2011/relationships/chartColorStyle" Target="colors245.xml"/><Relationship Id="rId1" Type="http://schemas.microsoft.com/office/2011/relationships/chartStyle" Target="style245.xml"/></Relationships>
</file>

<file path=xl/charts/_rels/chart246.xml.rels><?xml version="1.0" encoding="UTF-8" standalone="yes"?>
<Relationships xmlns="http://schemas.openxmlformats.org/package/2006/relationships"><Relationship Id="rId2" Type="http://schemas.microsoft.com/office/2011/relationships/chartColorStyle" Target="colors246.xml"/><Relationship Id="rId1" Type="http://schemas.microsoft.com/office/2011/relationships/chartStyle" Target="style246.xml"/></Relationships>
</file>

<file path=xl/charts/_rels/chart247.xml.rels><?xml version="1.0" encoding="UTF-8" standalone="yes"?>
<Relationships xmlns="http://schemas.openxmlformats.org/package/2006/relationships"><Relationship Id="rId2" Type="http://schemas.microsoft.com/office/2011/relationships/chartColorStyle" Target="colors247.xml"/><Relationship Id="rId1" Type="http://schemas.microsoft.com/office/2011/relationships/chartStyle" Target="style247.xml"/></Relationships>
</file>

<file path=xl/charts/_rels/chart248.xml.rels><?xml version="1.0" encoding="UTF-8" standalone="yes"?>
<Relationships xmlns="http://schemas.openxmlformats.org/package/2006/relationships"><Relationship Id="rId2" Type="http://schemas.microsoft.com/office/2011/relationships/chartColorStyle" Target="colors248.xml"/><Relationship Id="rId1" Type="http://schemas.microsoft.com/office/2011/relationships/chartStyle" Target="style248.xml"/></Relationships>
</file>

<file path=xl/charts/_rels/chart249.xml.rels><?xml version="1.0" encoding="UTF-8" standalone="yes"?>
<Relationships xmlns="http://schemas.openxmlformats.org/package/2006/relationships"><Relationship Id="rId2" Type="http://schemas.microsoft.com/office/2011/relationships/chartColorStyle" Target="colors249.xml"/><Relationship Id="rId1" Type="http://schemas.microsoft.com/office/2011/relationships/chartStyle" Target="style249.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50.xml.rels><?xml version="1.0" encoding="UTF-8" standalone="yes"?>
<Relationships xmlns="http://schemas.openxmlformats.org/package/2006/relationships"><Relationship Id="rId2" Type="http://schemas.microsoft.com/office/2011/relationships/chartColorStyle" Target="colors250.xml"/><Relationship Id="rId1" Type="http://schemas.microsoft.com/office/2011/relationships/chartStyle" Target="style250.xml"/></Relationships>
</file>

<file path=xl/charts/_rels/chart251.xml.rels><?xml version="1.0" encoding="UTF-8" standalone="yes"?>
<Relationships xmlns="http://schemas.openxmlformats.org/package/2006/relationships"><Relationship Id="rId2" Type="http://schemas.microsoft.com/office/2011/relationships/chartColorStyle" Target="colors251.xml"/><Relationship Id="rId1" Type="http://schemas.microsoft.com/office/2011/relationships/chartStyle" Target="style251.xml"/></Relationships>
</file>

<file path=xl/charts/_rels/chart252.xml.rels><?xml version="1.0" encoding="UTF-8" standalone="yes"?>
<Relationships xmlns="http://schemas.openxmlformats.org/package/2006/relationships"><Relationship Id="rId2" Type="http://schemas.microsoft.com/office/2011/relationships/chartColorStyle" Target="colors252.xml"/><Relationship Id="rId1" Type="http://schemas.microsoft.com/office/2011/relationships/chartStyle" Target="style252.xml"/></Relationships>
</file>

<file path=xl/charts/_rels/chart253.xml.rels><?xml version="1.0" encoding="UTF-8" standalone="yes"?>
<Relationships xmlns="http://schemas.openxmlformats.org/package/2006/relationships"><Relationship Id="rId2" Type="http://schemas.microsoft.com/office/2011/relationships/chartColorStyle" Target="colors253.xml"/><Relationship Id="rId1" Type="http://schemas.microsoft.com/office/2011/relationships/chartStyle" Target="style253.xml"/></Relationships>
</file>

<file path=xl/charts/_rels/chart254.xml.rels><?xml version="1.0" encoding="UTF-8" standalone="yes"?>
<Relationships xmlns="http://schemas.openxmlformats.org/package/2006/relationships"><Relationship Id="rId2" Type="http://schemas.microsoft.com/office/2011/relationships/chartColorStyle" Target="colors254.xml"/><Relationship Id="rId1" Type="http://schemas.microsoft.com/office/2011/relationships/chartStyle" Target="style254.xml"/></Relationships>
</file>

<file path=xl/charts/_rels/chart255.xml.rels><?xml version="1.0" encoding="UTF-8" standalone="yes"?>
<Relationships xmlns="http://schemas.openxmlformats.org/package/2006/relationships"><Relationship Id="rId2" Type="http://schemas.microsoft.com/office/2011/relationships/chartColorStyle" Target="colors255.xml"/><Relationship Id="rId1" Type="http://schemas.microsoft.com/office/2011/relationships/chartStyle" Target="style255.xml"/></Relationships>
</file>

<file path=xl/charts/_rels/chart256.xml.rels><?xml version="1.0" encoding="UTF-8" standalone="yes"?>
<Relationships xmlns="http://schemas.openxmlformats.org/package/2006/relationships"><Relationship Id="rId2" Type="http://schemas.microsoft.com/office/2011/relationships/chartColorStyle" Target="colors256.xml"/><Relationship Id="rId1" Type="http://schemas.microsoft.com/office/2011/relationships/chartStyle" Target="style256.xml"/></Relationships>
</file>

<file path=xl/charts/_rels/chart257.xml.rels><?xml version="1.0" encoding="UTF-8" standalone="yes"?>
<Relationships xmlns="http://schemas.openxmlformats.org/package/2006/relationships"><Relationship Id="rId2" Type="http://schemas.microsoft.com/office/2011/relationships/chartColorStyle" Target="colors257.xml"/><Relationship Id="rId1" Type="http://schemas.microsoft.com/office/2011/relationships/chartStyle" Target="style257.xml"/></Relationships>
</file>

<file path=xl/charts/_rels/chart258.xml.rels><?xml version="1.0" encoding="UTF-8" standalone="yes"?>
<Relationships xmlns="http://schemas.openxmlformats.org/package/2006/relationships"><Relationship Id="rId2" Type="http://schemas.microsoft.com/office/2011/relationships/chartColorStyle" Target="colors258.xml"/><Relationship Id="rId1" Type="http://schemas.microsoft.com/office/2011/relationships/chartStyle" Target="style258.xml"/></Relationships>
</file>

<file path=xl/charts/_rels/chart259.xml.rels><?xml version="1.0" encoding="UTF-8" standalone="yes"?>
<Relationships xmlns="http://schemas.openxmlformats.org/package/2006/relationships"><Relationship Id="rId2" Type="http://schemas.microsoft.com/office/2011/relationships/chartColorStyle" Target="colors259.xml"/><Relationship Id="rId1" Type="http://schemas.microsoft.com/office/2011/relationships/chartStyle" Target="style259.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60.xml.rels><?xml version="1.0" encoding="UTF-8" standalone="yes"?>
<Relationships xmlns="http://schemas.openxmlformats.org/package/2006/relationships"><Relationship Id="rId2" Type="http://schemas.microsoft.com/office/2011/relationships/chartColorStyle" Target="colors260.xml"/><Relationship Id="rId1" Type="http://schemas.microsoft.com/office/2011/relationships/chartStyle" Target="style260.xml"/></Relationships>
</file>

<file path=xl/charts/_rels/chart261.xml.rels><?xml version="1.0" encoding="UTF-8" standalone="yes"?>
<Relationships xmlns="http://schemas.openxmlformats.org/package/2006/relationships"><Relationship Id="rId2" Type="http://schemas.microsoft.com/office/2011/relationships/chartColorStyle" Target="colors261.xml"/><Relationship Id="rId1" Type="http://schemas.microsoft.com/office/2011/relationships/chartStyle" Target="style261.xml"/></Relationships>
</file>

<file path=xl/charts/_rels/chart262.xml.rels><?xml version="1.0" encoding="UTF-8" standalone="yes"?>
<Relationships xmlns="http://schemas.openxmlformats.org/package/2006/relationships"><Relationship Id="rId2" Type="http://schemas.microsoft.com/office/2011/relationships/chartColorStyle" Target="colors262.xml"/><Relationship Id="rId1" Type="http://schemas.microsoft.com/office/2011/relationships/chartStyle" Target="style262.xml"/></Relationships>
</file>

<file path=xl/charts/_rels/chart263.xml.rels><?xml version="1.0" encoding="UTF-8" standalone="yes"?>
<Relationships xmlns="http://schemas.openxmlformats.org/package/2006/relationships"><Relationship Id="rId2" Type="http://schemas.microsoft.com/office/2011/relationships/chartColorStyle" Target="colors263.xml"/><Relationship Id="rId1" Type="http://schemas.microsoft.com/office/2011/relationships/chartStyle" Target="style263.xml"/></Relationships>
</file>

<file path=xl/charts/_rels/chart264.xml.rels><?xml version="1.0" encoding="UTF-8" standalone="yes"?>
<Relationships xmlns="http://schemas.openxmlformats.org/package/2006/relationships"><Relationship Id="rId2" Type="http://schemas.microsoft.com/office/2011/relationships/chartColorStyle" Target="colors264.xml"/><Relationship Id="rId1" Type="http://schemas.microsoft.com/office/2011/relationships/chartStyle" Target="style264.xml"/></Relationships>
</file>

<file path=xl/charts/_rels/chart265.xml.rels><?xml version="1.0" encoding="UTF-8" standalone="yes"?>
<Relationships xmlns="http://schemas.openxmlformats.org/package/2006/relationships"><Relationship Id="rId2" Type="http://schemas.microsoft.com/office/2011/relationships/chartColorStyle" Target="colors265.xml"/><Relationship Id="rId1" Type="http://schemas.microsoft.com/office/2011/relationships/chartStyle" Target="style265.xml"/></Relationships>
</file>

<file path=xl/charts/_rels/chart266.xml.rels><?xml version="1.0" encoding="UTF-8" standalone="yes"?>
<Relationships xmlns="http://schemas.openxmlformats.org/package/2006/relationships"><Relationship Id="rId2" Type="http://schemas.microsoft.com/office/2011/relationships/chartColorStyle" Target="colors266.xml"/><Relationship Id="rId1" Type="http://schemas.microsoft.com/office/2011/relationships/chartStyle" Target="style266.xml"/></Relationships>
</file>

<file path=xl/charts/_rels/chart267.xml.rels><?xml version="1.0" encoding="UTF-8" standalone="yes"?>
<Relationships xmlns="http://schemas.openxmlformats.org/package/2006/relationships"><Relationship Id="rId2" Type="http://schemas.microsoft.com/office/2011/relationships/chartColorStyle" Target="colors267.xml"/><Relationship Id="rId1" Type="http://schemas.microsoft.com/office/2011/relationships/chartStyle" Target="style267.xml"/></Relationships>
</file>

<file path=xl/charts/_rels/chart268.xml.rels><?xml version="1.0" encoding="UTF-8" standalone="yes"?>
<Relationships xmlns="http://schemas.openxmlformats.org/package/2006/relationships"><Relationship Id="rId2" Type="http://schemas.microsoft.com/office/2011/relationships/chartColorStyle" Target="colors268.xml"/><Relationship Id="rId1" Type="http://schemas.microsoft.com/office/2011/relationships/chartStyle" Target="style268.xml"/></Relationships>
</file>

<file path=xl/charts/_rels/chart269.xml.rels><?xml version="1.0" encoding="UTF-8" standalone="yes"?>
<Relationships xmlns="http://schemas.openxmlformats.org/package/2006/relationships"><Relationship Id="rId2" Type="http://schemas.microsoft.com/office/2011/relationships/chartColorStyle" Target="colors269.xml"/><Relationship Id="rId1" Type="http://schemas.microsoft.com/office/2011/relationships/chartStyle" Target="style269.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70.xml.rels><?xml version="1.0" encoding="UTF-8" standalone="yes"?>
<Relationships xmlns="http://schemas.openxmlformats.org/package/2006/relationships"><Relationship Id="rId2" Type="http://schemas.microsoft.com/office/2011/relationships/chartColorStyle" Target="colors270.xml"/><Relationship Id="rId1" Type="http://schemas.microsoft.com/office/2011/relationships/chartStyle" Target="style270.xml"/></Relationships>
</file>

<file path=xl/charts/_rels/chart271.xml.rels><?xml version="1.0" encoding="UTF-8" standalone="yes"?>
<Relationships xmlns="http://schemas.openxmlformats.org/package/2006/relationships"><Relationship Id="rId2" Type="http://schemas.microsoft.com/office/2011/relationships/chartColorStyle" Target="colors271.xml"/><Relationship Id="rId1" Type="http://schemas.microsoft.com/office/2011/relationships/chartStyle" Target="style271.xml"/></Relationships>
</file>

<file path=xl/charts/_rels/chart272.xml.rels><?xml version="1.0" encoding="UTF-8" standalone="yes"?>
<Relationships xmlns="http://schemas.openxmlformats.org/package/2006/relationships"><Relationship Id="rId2" Type="http://schemas.microsoft.com/office/2011/relationships/chartColorStyle" Target="colors272.xml"/><Relationship Id="rId1" Type="http://schemas.microsoft.com/office/2011/relationships/chartStyle" Target="style272.xml"/></Relationships>
</file>

<file path=xl/charts/_rels/chart273.xml.rels><?xml version="1.0" encoding="UTF-8" standalone="yes"?>
<Relationships xmlns="http://schemas.openxmlformats.org/package/2006/relationships"><Relationship Id="rId2" Type="http://schemas.microsoft.com/office/2011/relationships/chartColorStyle" Target="colors273.xml"/><Relationship Id="rId1" Type="http://schemas.microsoft.com/office/2011/relationships/chartStyle" Target="style273.xml"/></Relationships>
</file>

<file path=xl/charts/_rels/chart274.xml.rels><?xml version="1.0" encoding="UTF-8" standalone="yes"?>
<Relationships xmlns="http://schemas.openxmlformats.org/package/2006/relationships"><Relationship Id="rId2" Type="http://schemas.microsoft.com/office/2011/relationships/chartColorStyle" Target="colors274.xml"/><Relationship Id="rId1" Type="http://schemas.microsoft.com/office/2011/relationships/chartStyle" Target="style274.xml"/></Relationships>
</file>

<file path=xl/charts/_rels/chart275.xml.rels><?xml version="1.0" encoding="UTF-8" standalone="yes"?>
<Relationships xmlns="http://schemas.openxmlformats.org/package/2006/relationships"><Relationship Id="rId2" Type="http://schemas.microsoft.com/office/2011/relationships/chartColorStyle" Target="colors275.xml"/><Relationship Id="rId1" Type="http://schemas.microsoft.com/office/2011/relationships/chartStyle" Target="style275.xml"/></Relationships>
</file>

<file path=xl/charts/_rels/chart276.xml.rels><?xml version="1.0" encoding="UTF-8" standalone="yes"?>
<Relationships xmlns="http://schemas.openxmlformats.org/package/2006/relationships"><Relationship Id="rId2" Type="http://schemas.microsoft.com/office/2011/relationships/chartColorStyle" Target="colors276.xml"/><Relationship Id="rId1" Type="http://schemas.microsoft.com/office/2011/relationships/chartStyle" Target="style276.xml"/></Relationships>
</file>

<file path=xl/charts/_rels/chart277.xml.rels><?xml version="1.0" encoding="UTF-8" standalone="yes"?>
<Relationships xmlns="http://schemas.openxmlformats.org/package/2006/relationships"><Relationship Id="rId2" Type="http://schemas.microsoft.com/office/2011/relationships/chartColorStyle" Target="colors277.xml"/><Relationship Id="rId1" Type="http://schemas.microsoft.com/office/2011/relationships/chartStyle" Target="style277.xml"/></Relationships>
</file>

<file path=xl/charts/_rels/chart278.xml.rels><?xml version="1.0" encoding="UTF-8" standalone="yes"?>
<Relationships xmlns="http://schemas.openxmlformats.org/package/2006/relationships"><Relationship Id="rId2" Type="http://schemas.microsoft.com/office/2011/relationships/chartColorStyle" Target="colors278.xml"/><Relationship Id="rId1" Type="http://schemas.microsoft.com/office/2011/relationships/chartStyle" Target="style278.xml"/></Relationships>
</file>

<file path=xl/charts/_rels/chart279.xml.rels><?xml version="1.0" encoding="UTF-8" standalone="yes"?>
<Relationships xmlns="http://schemas.openxmlformats.org/package/2006/relationships"><Relationship Id="rId2" Type="http://schemas.microsoft.com/office/2011/relationships/chartColorStyle" Target="colors279.xml"/><Relationship Id="rId1" Type="http://schemas.microsoft.com/office/2011/relationships/chartStyle" Target="style279.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80.xml.rels><?xml version="1.0" encoding="UTF-8" standalone="yes"?>
<Relationships xmlns="http://schemas.openxmlformats.org/package/2006/relationships"><Relationship Id="rId2" Type="http://schemas.microsoft.com/office/2011/relationships/chartColorStyle" Target="colors280.xml"/><Relationship Id="rId1" Type="http://schemas.microsoft.com/office/2011/relationships/chartStyle" Target="style280.xml"/></Relationships>
</file>

<file path=xl/charts/_rels/chart281.xml.rels><?xml version="1.0" encoding="UTF-8" standalone="yes"?>
<Relationships xmlns="http://schemas.openxmlformats.org/package/2006/relationships"><Relationship Id="rId2" Type="http://schemas.microsoft.com/office/2011/relationships/chartColorStyle" Target="colors281.xml"/><Relationship Id="rId1" Type="http://schemas.microsoft.com/office/2011/relationships/chartStyle" Target="style281.xml"/></Relationships>
</file>

<file path=xl/charts/_rels/chart282.xml.rels><?xml version="1.0" encoding="UTF-8" standalone="yes"?>
<Relationships xmlns="http://schemas.openxmlformats.org/package/2006/relationships"><Relationship Id="rId2" Type="http://schemas.microsoft.com/office/2011/relationships/chartColorStyle" Target="colors282.xml"/><Relationship Id="rId1" Type="http://schemas.microsoft.com/office/2011/relationships/chartStyle" Target="style282.xml"/></Relationships>
</file>

<file path=xl/charts/_rels/chart283.xml.rels><?xml version="1.0" encoding="UTF-8" standalone="yes"?>
<Relationships xmlns="http://schemas.openxmlformats.org/package/2006/relationships"><Relationship Id="rId2" Type="http://schemas.microsoft.com/office/2011/relationships/chartColorStyle" Target="colors283.xml"/><Relationship Id="rId1" Type="http://schemas.microsoft.com/office/2011/relationships/chartStyle" Target="style283.xml"/></Relationships>
</file>

<file path=xl/charts/_rels/chart284.xml.rels><?xml version="1.0" encoding="UTF-8" standalone="yes"?>
<Relationships xmlns="http://schemas.openxmlformats.org/package/2006/relationships"><Relationship Id="rId2" Type="http://schemas.microsoft.com/office/2011/relationships/chartColorStyle" Target="colors284.xml"/><Relationship Id="rId1" Type="http://schemas.microsoft.com/office/2011/relationships/chartStyle" Target="style284.xml"/></Relationships>
</file>

<file path=xl/charts/_rels/chart285.xml.rels><?xml version="1.0" encoding="UTF-8" standalone="yes"?>
<Relationships xmlns="http://schemas.openxmlformats.org/package/2006/relationships"><Relationship Id="rId2" Type="http://schemas.microsoft.com/office/2011/relationships/chartColorStyle" Target="colors285.xml"/><Relationship Id="rId1" Type="http://schemas.microsoft.com/office/2011/relationships/chartStyle" Target="style285.xml"/></Relationships>
</file>

<file path=xl/charts/_rels/chart286.xml.rels><?xml version="1.0" encoding="UTF-8" standalone="yes"?>
<Relationships xmlns="http://schemas.openxmlformats.org/package/2006/relationships"><Relationship Id="rId2" Type="http://schemas.microsoft.com/office/2011/relationships/chartColorStyle" Target="colors286.xml"/><Relationship Id="rId1" Type="http://schemas.microsoft.com/office/2011/relationships/chartStyle" Target="style286.xml"/></Relationships>
</file>

<file path=xl/charts/_rels/chart287.xml.rels><?xml version="1.0" encoding="UTF-8" standalone="yes"?>
<Relationships xmlns="http://schemas.openxmlformats.org/package/2006/relationships"><Relationship Id="rId2" Type="http://schemas.microsoft.com/office/2011/relationships/chartColorStyle" Target="colors287.xml"/><Relationship Id="rId1" Type="http://schemas.microsoft.com/office/2011/relationships/chartStyle" Target="style287.xml"/></Relationships>
</file>

<file path=xl/charts/_rels/chart288.xml.rels><?xml version="1.0" encoding="UTF-8" standalone="yes"?>
<Relationships xmlns="http://schemas.openxmlformats.org/package/2006/relationships"><Relationship Id="rId2" Type="http://schemas.microsoft.com/office/2011/relationships/chartColorStyle" Target="colors288.xml"/><Relationship Id="rId1" Type="http://schemas.microsoft.com/office/2011/relationships/chartStyle" Target="style288.xml"/></Relationships>
</file>

<file path=xl/charts/_rels/chart289.xml.rels><?xml version="1.0" encoding="UTF-8" standalone="yes"?>
<Relationships xmlns="http://schemas.openxmlformats.org/package/2006/relationships"><Relationship Id="rId2" Type="http://schemas.microsoft.com/office/2011/relationships/chartColorStyle" Target="colors289.xml"/><Relationship Id="rId1" Type="http://schemas.microsoft.com/office/2011/relationships/chartStyle" Target="style289.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290.xml.rels><?xml version="1.0" encoding="UTF-8" standalone="yes"?>
<Relationships xmlns="http://schemas.openxmlformats.org/package/2006/relationships"><Relationship Id="rId2" Type="http://schemas.microsoft.com/office/2011/relationships/chartColorStyle" Target="colors290.xml"/><Relationship Id="rId1" Type="http://schemas.microsoft.com/office/2011/relationships/chartStyle" Target="style290.xml"/></Relationships>
</file>

<file path=xl/charts/_rels/chart291.xml.rels><?xml version="1.0" encoding="UTF-8" standalone="yes"?>
<Relationships xmlns="http://schemas.openxmlformats.org/package/2006/relationships"><Relationship Id="rId2" Type="http://schemas.microsoft.com/office/2011/relationships/chartColorStyle" Target="colors291.xml"/><Relationship Id="rId1" Type="http://schemas.microsoft.com/office/2011/relationships/chartStyle" Target="style29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2022-08-19</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'August 19, 2022'!$B$2:$B$3</c:f>
              <c:strCache>
                <c:ptCount val="2"/>
                <c:pt idx="0">
                  <c:v>Total Hospital</c:v>
                </c:pt>
                <c:pt idx="1">
                  <c:v>5170</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19,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19, 2022'!$B$4:$B$16</c:f>
              <c:numCache>
                <c:formatCode>General</c:formatCode>
                <c:ptCount val="13"/>
                <c:pt idx="0">
                  <c:v>366</c:v>
                </c:pt>
                <c:pt idx="1">
                  <c:v>818</c:v>
                </c:pt>
                <c:pt idx="2" formatCode="0">
                  <c:v>1328</c:v>
                </c:pt>
                <c:pt idx="3" formatCode="#,##0">
                  <c:v>1997</c:v>
                </c:pt>
                <c:pt idx="4">
                  <c:v>46</c:v>
                </c:pt>
                <c:pt idx="5">
                  <c:v>27</c:v>
                </c:pt>
                <c:pt idx="6">
                  <c:v>72</c:v>
                </c:pt>
                <c:pt idx="7">
                  <c:v>10</c:v>
                </c:pt>
                <c:pt idx="8">
                  <c:v>488</c:v>
                </c:pt>
                <c:pt idx="9">
                  <c:v>18</c:v>
                </c:pt>
                <c:pt idx="10">
                  <c:v>0</c:v>
                </c:pt>
                <c:pt idx="11">
                  <c:v>0</c:v>
                </c:pt>
                <c:pt idx="12">
                  <c:v>0</c:v>
                </c:pt>
              </c:numCache>
            </c:numRef>
          </c:val>
          <c:extLst>
            <c:ext xmlns:c16="http://schemas.microsoft.com/office/drawing/2014/chart" uri="{C3380CC4-5D6E-409C-BE32-E72D297353CC}">
              <c16:uniqueId val="{00000000-1E18-427E-88C8-A61ABD446C97}"/>
            </c:ext>
          </c:extLst>
        </c:ser>
        <c:ser>
          <c:idx val="1"/>
          <c:order val="1"/>
          <c:tx>
            <c:strRef>
              <c:f>'August 19, 2022'!$C$2:$C$3</c:f>
              <c:strCache>
                <c:ptCount val="2"/>
                <c:pt idx="0">
                  <c:v>Total ICU</c:v>
                </c:pt>
                <c:pt idx="1">
                  <c:v>261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E18-427E-88C8-A61ABD446C9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19,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19, 2022'!$C$4:$C$16</c:f>
              <c:numCache>
                <c:formatCode>General</c:formatCode>
                <c:ptCount val="13"/>
                <c:pt idx="0">
                  <c:v>22</c:v>
                </c:pt>
                <c:pt idx="1">
                  <c:v>28</c:v>
                </c:pt>
                <c:pt idx="2">
                  <c:v>109</c:v>
                </c:pt>
                <c:pt idx="3">
                  <c:v>47</c:v>
                </c:pt>
                <c:pt idx="4">
                  <c:v>4</c:v>
                </c:pt>
                <c:pt idx="5">
                  <c:v>4</c:v>
                </c:pt>
                <c:pt idx="6">
                  <c:v>19</c:v>
                </c:pt>
                <c:pt idx="7">
                  <c:v>0</c:v>
                </c:pt>
                <c:pt idx="8">
                  <c:v>27</c:v>
                </c:pt>
                <c:pt idx="9">
                  <c:v>1</c:v>
                </c:pt>
                <c:pt idx="10">
                  <c:v>0</c:v>
                </c:pt>
                <c:pt idx="11">
                  <c:v>0</c:v>
                </c:pt>
                <c:pt idx="12">
                  <c:v>0</c:v>
                </c:pt>
              </c:numCache>
            </c:numRef>
          </c:val>
          <c:extLst>
            <c:ext xmlns:c16="http://schemas.microsoft.com/office/drawing/2014/chart" uri="{C3380CC4-5D6E-409C-BE32-E72D297353CC}">
              <c16:uniqueId val="{00000002-1E18-427E-88C8-A61ABD446C97}"/>
            </c:ext>
          </c:extLst>
        </c:ser>
        <c:dLbls>
          <c:dLblPos val="outEnd"/>
          <c:showLegendKey val="0"/>
          <c:showVal val="1"/>
          <c:showCatName val="0"/>
          <c:showSerName val="0"/>
          <c:showPercent val="0"/>
          <c:showBubbleSize val="0"/>
        </c:dLbls>
        <c:gapWidth val="100"/>
        <c:overlap val="-24"/>
        <c:axId val="528188568"/>
        <c:axId val="528192880"/>
      </c:barChart>
      <c:catAx>
        <c:axId val="5281885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92880"/>
        <c:crosses val="autoZero"/>
        <c:auto val="1"/>
        <c:lblAlgn val="ctr"/>
        <c:lblOffset val="100"/>
        <c:noMultiLvlLbl val="0"/>
      </c:catAx>
      <c:valAx>
        <c:axId val="5281928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88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2022-06-17</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'June 17, 2022'!$B$2:$B$3</c:f>
              <c:strCache>
                <c:ptCount val="2"/>
                <c:pt idx="0">
                  <c:v>Total Hospital</c:v>
                </c:pt>
                <c:pt idx="1">
                  <c:v>2814</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17,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17, 2022'!$B$4:$B$16</c:f>
              <c:numCache>
                <c:formatCode>General</c:formatCode>
                <c:ptCount val="13"/>
                <c:pt idx="0">
                  <c:v>276</c:v>
                </c:pt>
                <c:pt idx="1">
                  <c:v>719</c:v>
                </c:pt>
                <c:pt idx="2" formatCode="0">
                  <c:v>491</c:v>
                </c:pt>
                <c:pt idx="3" formatCode="#,##0">
                  <c:v>1004</c:v>
                </c:pt>
                <c:pt idx="4">
                  <c:v>25</c:v>
                </c:pt>
                <c:pt idx="5">
                  <c:v>27</c:v>
                </c:pt>
                <c:pt idx="6">
                  <c:v>80</c:v>
                </c:pt>
                <c:pt idx="7">
                  <c:v>11</c:v>
                </c:pt>
                <c:pt idx="8">
                  <c:v>165</c:v>
                </c:pt>
                <c:pt idx="9">
                  <c:v>14</c:v>
                </c:pt>
                <c:pt idx="10">
                  <c:v>0</c:v>
                </c:pt>
                <c:pt idx="11">
                  <c:v>2</c:v>
                </c:pt>
                <c:pt idx="12">
                  <c:v>0</c:v>
                </c:pt>
              </c:numCache>
            </c:numRef>
          </c:val>
          <c:extLst>
            <c:ext xmlns:c16="http://schemas.microsoft.com/office/drawing/2014/chart" uri="{C3380CC4-5D6E-409C-BE32-E72D297353CC}">
              <c16:uniqueId val="{00000000-B0B4-4375-B59B-34E17D2CF2BC}"/>
            </c:ext>
          </c:extLst>
        </c:ser>
        <c:ser>
          <c:idx val="1"/>
          <c:order val="1"/>
          <c:tx>
            <c:strRef>
              <c:f>'June 17, 2022'!$C$2:$C$3</c:f>
              <c:strCache>
                <c:ptCount val="2"/>
                <c:pt idx="0">
                  <c:v>Total ICU</c:v>
                </c:pt>
                <c:pt idx="1">
                  <c:v>205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4-4375-B59B-34E17D2CF2B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17,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17, 2022'!$C$4:$C$16</c:f>
              <c:numCache>
                <c:formatCode>General</c:formatCode>
                <c:ptCount val="13"/>
                <c:pt idx="0">
                  <c:v>19</c:v>
                </c:pt>
                <c:pt idx="1">
                  <c:v>19</c:v>
                </c:pt>
                <c:pt idx="2">
                  <c:v>109</c:v>
                </c:pt>
                <c:pt idx="3">
                  <c:v>27</c:v>
                </c:pt>
                <c:pt idx="4">
                  <c:v>5</c:v>
                </c:pt>
                <c:pt idx="5">
                  <c:v>2</c:v>
                </c:pt>
                <c:pt idx="6">
                  <c:v>14</c:v>
                </c:pt>
                <c:pt idx="7">
                  <c:v>0</c:v>
                </c:pt>
                <c:pt idx="8">
                  <c:v>6</c:v>
                </c:pt>
                <c:pt idx="9">
                  <c:v>4</c:v>
                </c:pt>
                <c:pt idx="10">
                  <c:v>0</c:v>
                </c:pt>
                <c:pt idx="11">
                  <c:v>0</c:v>
                </c:pt>
                <c:pt idx="12">
                  <c:v>0</c:v>
                </c:pt>
              </c:numCache>
            </c:numRef>
          </c:val>
          <c:extLst>
            <c:ext xmlns:c16="http://schemas.microsoft.com/office/drawing/2014/chart" uri="{C3380CC4-5D6E-409C-BE32-E72D297353CC}">
              <c16:uniqueId val="{00000002-B0B4-4375-B59B-34E17D2CF2BC}"/>
            </c:ext>
          </c:extLst>
        </c:ser>
        <c:dLbls>
          <c:dLblPos val="outEnd"/>
          <c:showLegendKey val="0"/>
          <c:showVal val="1"/>
          <c:showCatName val="0"/>
          <c:showSerName val="0"/>
          <c:showPercent val="0"/>
          <c:showBubbleSize val="0"/>
        </c:dLbls>
        <c:gapWidth val="100"/>
        <c:overlap val="-24"/>
        <c:axId val="528188568"/>
        <c:axId val="528192880"/>
      </c:barChart>
      <c:catAx>
        <c:axId val="5281885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92880"/>
        <c:crosses val="autoZero"/>
        <c:auto val="1"/>
        <c:lblAlgn val="ctr"/>
        <c:lblOffset val="100"/>
        <c:noMultiLvlLbl val="0"/>
      </c:catAx>
      <c:valAx>
        <c:axId val="5281928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88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2021-08-18</a:t>
            </a:r>
          </a:p>
        </c:rich>
      </c:tx>
      <c:layout>
        <c:manualLayout>
          <c:xMode val="edge"/>
          <c:yMode val="edge"/>
          <c:x val="0.12829946229739789"/>
          <c:y val="2.3609096959279263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'August 18, 2021'!$B$2:$B$3</c:f>
              <c:strCache>
                <c:ptCount val="2"/>
                <c:pt idx="0">
                  <c:v>Total Hospital</c:v>
                </c:pt>
                <c:pt idx="1">
                  <c:v>991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18,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18, 2021'!$B$4:$B$16</c:f>
              <c:numCache>
                <c:formatCode>General</c:formatCode>
                <c:ptCount val="13"/>
                <c:pt idx="0">
                  <c:v>162</c:v>
                </c:pt>
                <c:pt idx="1">
                  <c:v>220</c:v>
                </c:pt>
                <c:pt idx="2" formatCode="0">
                  <c:v>290</c:v>
                </c:pt>
                <c:pt idx="3" formatCode="#,##0">
                  <c:v>116</c:v>
                </c:pt>
                <c:pt idx="4">
                  <c:v>1</c:v>
                </c:pt>
                <c:pt idx="5">
                  <c:v>1</c:v>
                </c:pt>
                <c:pt idx="6">
                  <c:v>81</c:v>
                </c:pt>
                <c:pt idx="7">
                  <c:v>0</c:v>
                </c:pt>
                <c:pt idx="8">
                  <c:v>79</c:v>
                </c:pt>
                <c:pt idx="9">
                  <c:v>0</c:v>
                </c:pt>
                <c:pt idx="10">
                  <c:v>1</c:v>
                </c:pt>
                <c:pt idx="11">
                  <c:v>40</c:v>
                </c:pt>
                <c:pt idx="12">
                  <c:v>0</c:v>
                </c:pt>
              </c:numCache>
            </c:numRef>
          </c:val>
          <c:extLst>
            <c:ext xmlns:c16="http://schemas.microsoft.com/office/drawing/2014/chart" uri="{C3380CC4-5D6E-409C-BE32-E72D297353CC}">
              <c16:uniqueId val="{00000000-024E-4B47-B4DB-BA5DB8999001}"/>
            </c:ext>
          </c:extLst>
        </c:ser>
        <c:ser>
          <c:idx val="1"/>
          <c:order val="1"/>
          <c:tx>
            <c:strRef>
              <c:f>'August 18, 2021'!$C$2:$C$3</c:f>
              <c:strCache>
                <c:ptCount val="2"/>
                <c:pt idx="0">
                  <c:v>Total ICU</c:v>
                </c:pt>
                <c:pt idx="1">
                  <c:v>274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4E-4B47-B4DB-BA5DB89990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18,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18, 2021'!$C$4:$C$16</c:f>
              <c:numCache>
                <c:formatCode>General</c:formatCode>
                <c:ptCount val="13"/>
                <c:pt idx="0">
                  <c:v>51</c:v>
                </c:pt>
                <c:pt idx="1">
                  <c:v>44</c:v>
                </c:pt>
                <c:pt idx="2">
                  <c:v>127</c:v>
                </c:pt>
                <c:pt idx="3">
                  <c:v>28</c:v>
                </c:pt>
                <c:pt idx="4">
                  <c:v>1</c:v>
                </c:pt>
                <c:pt idx="5">
                  <c:v>0</c:v>
                </c:pt>
                <c:pt idx="6">
                  <c:v>12</c:v>
                </c:pt>
                <c:pt idx="7">
                  <c:v>0</c:v>
                </c:pt>
                <c:pt idx="8">
                  <c:v>11</c:v>
                </c:pt>
                <c:pt idx="9">
                  <c:v>0</c:v>
                </c:pt>
                <c:pt idx="10">
                  <c:v>0</c:v>
                </c:pt>
                <c:pt idx="11">
                  <c:v>0</c:v>
                </c:pt>
                <c:pt idx="12">
                  <c:v>0</c:v>
                </c:pt>
              </c:numCache>
            </c:numRef>
          </c:val>
          <c:extLst>
            <c:ext xmlns:c16="http://schemas.microsoft.com/office/drawing/2014/chart" uri="{C3380CC4-5D6E-409C-BE32-E72D297353CC}">
              <c16:uniqueId val="{00000002-024E-4B47-B4DB-BA5DB8999001}"/>
            </c:ext>
          </c:extLst>
        </c:ser>
        <c:dLbls>
          <c:dLblPos val="outEnd"/>
          <c:showLegendKey val="0"/>
          <c:showVal val="1"/>
          <c:showCatName val="0"/>
          <c:showSerName val="0"/>
          <c:showPercent val="0"/>
          <c:showBubbleSize val="0"/>
        </c:dLbls>
        <c:gapWidth val="100"/>
        <c:overlap val="-24"/>
        <c:axId val="451836112"/>
        <c:axId val="451823960"/>
      </c:barChart>
      <c:catAx>
        <c:axId val="45183611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23960"/>
        <c:crosses val="autoZero"/>
        <c:auto val="1"/>
        <c:lblAlgn val="ctr"/>
        <c:lblOffset val="100"/>
        <c:noMultiLvlLbl val="0"/>
      </c:catAx>
      <c:valAx>
        <c:axId val="45182396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361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2021-08-16</a:t>
            </a:r>
          </a:p>
        </c:rich>
      </c:tx>
      <c:layout>
        <c:manualLayout>
          <c:xMode val="edge"/>
          <c:yMode val="edge"/>
          <c:x val="0.12829946229739789"/>
          <c:y val="2.3609096959279263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'August 16, 2021'!$B$2:$B$3</c:f>
              <c:strCache>
                <c:ptCount val="2"/>
                <c:pt idx="0">
                  <c:v>Total Hospital</c:v>
                </c:pt>
                <c:pt idx="1">
                  <c:v>846</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16,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16, 2021'!$B$4:$B$16</c:f>
              <c:numCache>
                <c:formatCode>General</c:formatCode>
                <c:ptCount val="13"/>
                <c:pt idx="0">
                  <c:v>121</c:v>
                </c:pt>
                <c:pt idx="1">
                  <c:v>189</c:v>
                </c:pt>
                <c:pt idx="2" formatCode="0">
                  <c:v>227</c:v>
                </c:pt>
                <c:pt idx="3" formatCode="#,##0">
                  <c:v>109</c:v>
                </c:pt>
                <c:pt idx="4">
                  <c:v>1</c:v>
                </c:pt>
                <c:pt idx="5">
                  <c:v>0</c:v>
                </c:pt>
                <c:pt idx="6">
                  <c:v>81</c:v>
                </c:pt>
                <c:pt idx="7">
                  <c:v>0</c:v>
                </c:pt>
                <c:pt idx="8">
                  <c:v>74</c:v>
                </c:pt>
                <c:pt idx="9">
                  <c:v>1</c:v>
                </c:pt>
                <c:pt idx="10">
                  <c:v>0</c:v>
                </c:pt>
                <c:pt idx="11">
                  <c:v>43</c:v>
                </c:pt>
                <c:pt idx="12">
                  <c:v>0</c:v>
                </c:pt>
              </c:numCache>
            </c:numRef>
          </c:val>
          <c:extLst>
            <c:ext xmlns:c16="http://schemas.microsoft.com/office/drawing/2014/chart" uri="{C3380CC4-5D6E-409C-BE32-E72D297353CC}">
              <c16:uniqueId val="{00000000-50EC-4114-8E49-03A223321FF9}"/>
            </c:ext>
          </c:extLst>
        </c:ser>
        <c:ser>
          <c:idx val="1"/>
          <c:order val="1"/>
          <c:tx>
            <c:strRef>
              <c:f>'August 16, 2021'!$C$2:$C$3</c:f>
              <c:strCache>
                <c:ptCount val="2"/>
                <c:pt idx="0">
                  <c:v>Total ICU</c:v>
                </c:pt>
                <c:pt idx="1">
                  <c:v>245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0EC-4114-8E49-03A223321FF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16,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16, 2021'!$C$4:$C$16</c:f>
              <c:numCache>
                <c:formatCode>General</c:formatCode>
                <c:ptCount val="13"/>
                <c:pt idx="0">
                  <c:v>39</c:v>
                </c:pt>
                <c:pt idx="1">
                  <c:v>37</c:v>
                </c:pt>
                <c:pt idx="2">
                  <c:v>119</c:v>
                </c:pt>
                <c:pt idx="3">
                  <c:v>27</c:v>
                </c:pt>
                <c:pt idx="4">
                  <c:v>1</c:v>
                </c:pt>
                <c:pt idx="5">
                  <c:v>0</c:v>
                </c:pt>
                <c:pt idx="6">
                  <c:v>12</c:v>
                </c:pt>
                <c:pt idx="7">
                  <c:v>0</c:v>
                </c:pt>
                <c:pt idx="8">
                  <c:v>10</c:v>
                </c:pt>
                <c:pt idx="9">
                  <c:v>0</c:v>
                </c:pt>
                <c:pt idx="10">
                  <c:v>0</c:v>
                </c:pt>
                <c:pt idx="11">
                  <c:v>0</c:v>
                </c:pt>
                <c:pt idx="12">
                  <c:v>0</c:v>
                </c:pt>
              </c:numCache>
            </c:numRef>
          </c:val>
          <c:extLst>
            <c:ext xmlns:c16="http://schemas.microsoft.com/office/drawing/2014/chart" uri="{C3380CC4-5D6E-409C-BE32-E72D297353CC}">
              <c16:uniqueId val="{00000002-50EC-4114-8E49-03A223321FF9}"/>
            </c:ext>
          </c:extLst>
        </c:ser>
        <c:dLbls>
          <c:dLblPos val="outEnd"/>
          <c:showLegendKey val="0"/>
          <c:showVal val="1"/>
          <c:showCatName val="0"/>
          <c:showSerName val="0"/>
          <c:showPercent val="0"/>
          <c:showBubbleSize val="0"/>
        </c:dLbls>
        <c:gapWidth val="100"/>
        <c:overlap val="-24"/>
        <c:axId val="451830232"/>
        <c:axId val="451829056"/>
      </c:barChart>
      <c:catAx>
        <c:axId val="45183023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29056"/>
        <c:crosses val="autoZero"/>
        <c:auto val="1"/>
        <c:lblAlgn val="ctr"/>
        <c:lblOffset val="100"/>
        <c:noMultiLvlLbl val="0"/>
      </c:catAx>
      <c:valAx>
        <c:axId val="45182905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302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2021-08-13</a:t>
            </a:r>
          </a:p>
        </c:rich>
      </c:tx>
      <c:layout>
        <c:manualLayout>
          <c:xMode val="edge"/>
          <c:yMode val="edge"/>
          <c:x val="0.12829946229739789"/>
          <c:y val="2.3609096959279263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'August 13, 2021'!$B$2:$B$3</c:f>
              <c:strCache>
                <c:ptCount val="2"/>
                <c:pt idx="0">
                  <c:v>Total Hospital</c:v>
                </c:pt>
                <c:pt idx="1">
                  <c:v>837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13,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13, 2021'!$B$4:$B$16</c:f>
              <c:numCache>
                <c:formatCode>General</c:formatCode>
                <c:ptCount val="13"/>
                <c:pt idx="0">
                  <c:v>114</c:v>
                </c:pt>
                <c:pt idx="1">
                  <c:v>182</c:v>
                </c:pt>
                <c:pt idx="2" formatCode="0">
                  <c:v>229</c:v>
                </c:pt>
                <c:pt idx="3" formatCode="#,##0">
                  <c:v>109</c:v>
                </c:pt>
                <c:pt idx="4">
                  <c:v>1</c:v>
                </c:pt>
                <c:pt idx="5">
                  <c:v>0</c:v>
                </c:pt>
                <c:pt idx="6">
                  <c:v>86</c:v>
                </c:pt>
                <c:pt idx="7">
                  <c:v>0</c:v>
                </c:pt>
                <c:pt idx="8">
                  <c:v>69</c:v>
                </c:pt>
                <c:pt idx="9">
                  <c:v>2</c:v>
                </c:pt>
                <c:pt idx="10">
                  <c:v>0</c:v>
                </c:pt>
                <c:pt idx="11">
                  <c:v>45</c:v>
                </c:pt>
                <c:pt idx="12">
                  <c:v>0</c:v>
                </c:pt>
              </c:numCache>
            </c:numRef>
          </c:val>
          <c:extLst>
            <c:ext xmlns:c16="http://schemas.microsoft.com/office/drawing/2014/chart" uri="{C3380CC4-5D6E-409C-BE32-E72D297353CC}">
              <c16:uniqueId val="{00000000-310F-4663-B524-637065250AA1}"/>
            </c:ext>
          </c:extLst>
        </c:ser>
        <c:ser>
          <c:idx val="1"/>
          <c:order val="1"/>
          <c:tx>
            <c:strRef>
              <c:f>'August 13, 2021'!$C$2:$C$3</c:f>
              <c:strCache>
                <c:ptCount val="2"/>
                <c:pt idx="0">
                  <c:v>Total ICU</c:v>
                </c:pt>
                <c:pt idx="1">
                  <c:v>233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10F-4663-B524-637065250AA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13,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13, 2021'!$C$4:$C$16</c:f>
              <c:numCache>
                <c:formatCode>General</c:formatCode>
                <c:ptCount val="13"/>
                <c:pt idx="0">
                  <c:v>33</c:v>
                </c:pt>
                <c:pt idx="1">
                  <c:v>36</c:v>
                </c:pt>
                <c:pt idx="2">
                  <c:v>113</c:v>
                </c:pt>
                <c:pt idx="3">
                  <c:v>28</c:v>
                </c:pt>
                <c:pt idx="4">
                  <c:v>1</c:v>
                </c:pt>
                <c:pt idx="5">
                  <c:v>0</c:v>
                </c:pt>
                <c:pt idx="6">
                  <c:v>11</c:v>
                </c:pt>
                <c:pt idx="7">
                  <c:v>0</c:v>
                </c:pt>
                <c:pt idx="8">
                  <c:v>11</c:v>
                </c:pt>
                <c:pt idx="9">
                  <c:v>0</c:v>
                </c:pt>
                <c:pt idx="10">
                  <c:v>0</c:v>
                </c:pt>
                <c:pt idx="11">
                  <c:v>0</c:v>
                </c:pt>
                <c:pt idx="12">
                  <c:v>0</c:v>
                </c:pt>
              </c:numCache>
            </c:numRef>
          </c:val>
          <c:extLst>
            <c:ext xmlns:c16="http://schemas.microsoft.com/office/drawing/2014/chart" uri="{C3380CC4-5D6E-409C-BE32-E72D297353CC}">
              <c16:uniqueId val="{00000002-310F-4663-B524-637065250AA1}"/>
            </c:ext>
          </c:extLst>
        </c:ser>
        <c:dLbls>
          <c:dLblPos val="outEnd"/>
          <c:showLegendKey val="0"/>
          <c:showVal val="1"/>
          <c:showCatName val="0"/>
          <c:showSerName val="0"/>
          <c:showPercent val="0"/>
          <c:showBubbleSize val="0"/>
        </c:dLbls>
        <c:gapWidth val="100"/>
        <c:overlap val="-24"/>
        <c:axId val="451840424"/>
        <c:axId val="451841208"/>
      </c:barChart>
      <c:catAx>
        <c:axId val="45184042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41208"/>
        <c:crosses val="autoZero"/>
        <c:auto val="1"/>
        <c:lblAlgn val="ctr"/>
        <c:lblOffset val="100"/>
        <c:noMultiLvlLbl val="0"/>
      </c:catAx>
      <c:valAx>
        <c:axId val="45184120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40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2021-08-11</a:t>
            </a:r>
          </a:p>
        </c:rich>
      </c:tx>
      <c:layout>
        <c:manualLayout>
          <c:xMode val="edge"/>
          <c:yMode val="edge"/>
          <c:x val="0.12829946229739789"/>
          <c:y val="2.3609096959279263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'August 11, 2021'!$B$2:$B$3</c:f>
              <c:strCache>
                <c:ptCount val="2"/>
                <c:pt idx="0">
                  <c:v>Total Hospital</c:v>
                </c:pt>
                <c:pt idx="1">
                  <c:v>775</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11,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11, 2021'!$B$4:$B$16</c:f>
              <c:numCache>
                <c:formatCode>General</c:formatCode>
                <c:ptCount val="13"/>
                <c:pt idx="0">
                  <c:v>94</c:v>
                </c:pt>
                <c:pt idx="1">
                  <c:v>162</c:v>
                </c:pt>
                <c:pt idx="2" formatCode="0">
                  <c:v>216</c:v>
                </c:pt>
                <c:pt idx="3" formatCode="#,##0">
                  <c:v>89</c:v>
                </c:pt>
                <c:pt idx="4">
                  <c:v>1</c:v>
                </c:pt>
                <c:pt idx="5">
                  <c:v>0</c:v>
                </c:pt>
                <c:pt idx="6">
                  <c:v>103</c:v>
                </c:pt>
                <c:pt idx="7">
                  <c:v>0</c:v>
                </c:pt>
                <c:pt idx="8">
                  <c:v>65</c:v>
                </c:pt>
                <c:pt idx="9">
                  <c:v>2</c:v>
                </c:pt>
                <c:pt idx="10">
                  <c:v>0</c:v>
                </c:pt>
                <c:pt idx="11">
                  <c:v>43</c:v>
                </c:pt>
                <c:pt idx="12">
                  <c:v>0</c:v>
                </c:pt>
              </c:numCache>
            </c:numRef>
          </c:val>
          <c:extLst>
            <c:ext xmlns:c16="http://schemas.microsoft.com/office/drawing/2014/chart" uri="{C3380CC4-5D6E-409C-BE32-E72D297353CC}">
              <c16:uniqueId val="{00000000-C7A2-40FE-BAC9-5820C386FAE9}"/>
            </c:ext>
          </c:extLst>
        </c:ser>
        <c:ser>
          <c:idx val="1"/>
          <c:order val="1"/>
          <c:tx>
            <c:strRef>
              <c:f>'August 11, 2021'!$C$2:$C$3</c:f>
              <c:strCache>
                <c:ptCount val="2"/>
                <c:pt idx="0">
                  <c:v>Total ICU</c:v>
                </c:pt>
                <c:pt idx="1">
                  <c:v>212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7A2-40FE-BAC9-5820C386FAE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11,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11, 2021'!$C$4:$C$16</c:f>
              <c:numCache>
                <c:formatCode>General</c:formatCode>
                <c:ptCount val="13"/>
                <c:pt idx="0">
                  <c:v>23</c:v>
                </c:pt>
                <c:pt idx="1">
                  <c:v>29</c:v>
                </c:pt>
                <c:pt idx="2">
                  <c:v>108</c:v>
                </c:pt>
                <c:pt idx="3">
                  <c:v>22</c:v>
                </c:pt>
                <c:pt idx="4">
                  <c:v>1</c:v>
                </c:pt>
                <c:pt idx="5">
                  <c:v>0</c:v>
                </c:pt>
                <c:pt idx="6">
                  <c:v>14</c:v>
                </c:pt>
                <c:pt idx="7">
                  <c:v>0</c:v>
                </c:pt>
                <c:pt idx="8">
                  <c:v>15</c:v>
                </c:pt>
                <c:pt idx="9">
                  <c:v>0</c:v>
                </c:pt>
                <c:pt idx="10">
                  <c:v>0</c:v>
                </c:pt>
                <c:pt idx="11">
                  <c:v>0</c:v>
                </c:pt>
                <c:pt idx="12">
                  <c:v>0</c:v>
                </c:pt>
              </c:numCache>
            </c:numRef>
          </c:val>
          <c:extLst>
            <c:ext xmlns:c16="http://schemas.microsoft.com/office/drawing/2014/chart" uri="{C3380CC4-5D6E-409C-BE32-E72D297353CC}">
              <c16:uniqueId val="{00000002-C7A2-40FE-BAC9-5820C386FAE9}"/>
            </c:ext>
          </c:extLst>
        </c:ser>
        <c:dLbls>
          <c:dLblPos val="outEnd"/>
          <c:showLegendKey val="0"/>
          <c:showVal val="1"/>
          <c:showCatName val="0"/>
          <c:showSerName val="0"/>
          <c:showPercent val="0"/>
          <c:showBubbleSize val="0"/>
        </c:dLbls>
        <c:gapWidth val="100"/>
        <c:overlap val="-24"/>
        <c:axId val="451840816"/>
        <c:axId val="451838464"/>
      </c:barChart>
      <c:catAx>
        <c:axId val="45184081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38464"/>
        <c:crosses val="autoZero"/>
        <c:auto val="1"/>
        <c:lblAlgn val="ctr"/>
        <c:lblOffset val="100"/>
        <c:noMultiLvlLbl val="0"/>
      </c:catAx>
      <c:valAx>
        <c:axId val="45183846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408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2021-08-09</a:t>
            </a:r>
          </a:p>
        </c:rich>
      </c:tx>
      <c:layout>
        <c:manualLayout>
          <c:xMode val="edge"/>
          <c:yMode val="edge"/>
          <c:x val="0.12829946229739789"/>
          <c:y val="2.3609096959279263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'August 9, 2021'!$B$2:$B$3</c:f>
              <c:strCache>
                <c:ptCount val="2"/>
                <c:pt idx="0">
                  <c:v>Total Hospital</c:v>
                </c:pt>
                <c:pt idx="1">
                  <c:v>699</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9,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9, 2021'!$B$4:$B$16</c:f>
              <c:numCache>
                <c:formatCode>General</c:formatCode>
                <c:ptCount val="13"/>
                <c:pt idx="0">
                  <c:v>76</c:v>
                </c:pt>
                <c:pt idx="1">
                  <c:v>138</c:v>
                </c:pt>
                <c:pt idx="2" formatCode="0">
                  <c:v>207</c:v>
                </c:pt>
                <c:pt idx="3" formatCode="#,##0">
                  <c:v>69</c:v>
                </c:pt>
                <c:pt idx="4">
                  <c:v>1</c:v>
                </c:pt>
                <c:pt idx="5">
                  <c:v>0</c:v>
                </c:pt>
                <c:pt idx="6">
                  <c:v>103</c:v>
                </c:pt>
                <c:pt idx="7">
                  <c:v>0</c:v>
                </c:pt>
                <c:pt idx="8">
                  <c:v>56</c:v>
                </c:pt>
                <c:pt idx="9">
                  <c:v>2</c:v>
                </c:pt>
                <c:pt idx="10">
                  <c:v>0</c:v>
                </c:pt>
                <c:pt idx="11">
                  <c:v>47</c:v>
                </c:pt>
                <c:pt idx="12">
                  <c:v>0</c:v>
                </c:pt>
              </c:numCache>
            </c:numRef>
          </c:val>
          <c:extLst>
            <c:ext xmlns:c16="http://schemas.microsoft.com/office/drawing/2014/chart" uri="{C3380CC4-5D6E-409C-BE32-E72D297353CC}">
              <c16:uniqueId val="{00000000-0567-4A23-9696-7CC8D8DCE737}"/>
            </c:ext>
          </c:extLst>
        </c:ser>
        <c:ser>
          <c:idx val="1"/>
          <c:order val="1"/>
          <c:tx>
            <c:strRef>
              <c:f>'August 9, 2021'!$C$2:$C$3</c:f>
              <c:strCache>
                <c:ptCount val="2"/>
                <c:pt idx="0">
                  <c:v>Total ICU</c:v>
                </c:pt>
                <c:pt idx="1">
                  <c:v>202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567-4A23-9696-7CC8D8DCE73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9,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9, 2021'!$C$4:$C$16</c:f>
              <c:numCache>
                <c:formatCode>General</c:formatCode>
                <c:ptCount val="13"/>
                <c:pt idx="0">
                  <c:v>24</c:v>
                </c:pt>
                <c:pt idx="1">
                  <c:v>25</c:v>
                </c:pt>
                <c:pt idx="2">
                  <c:v>113</c:v>
                </c:pt>
                <c:pt idx="3">
                  <c:v>14</c:v>
                </c:pt>
                <c:pt idx="4">
                  <c:v>1</c:v>
                </c:pt>
                <c:pt idx="5">
                  <c:v>0</c:v>
                </c:pt>
                <c:pt idx="6">
                  <c:v>14</c:v>
                </c:pt>
                <c:pt idx="7">
                  <c:v>0</c:v>
                </c:pt>
                <c:pt idx="8">
                  <c:v>11</c:v>
                </c:pt>
                <c:pt idx="9">
                  <c:v>0</c:v>
                </c:pt>
                <c:pt idx="10">
                  <c:v>0</c:v>
                </c:pt>
                <c:pt idx="11">
                  <c:v>0</c:v>
                </c:pt>
                <c:pt idx="12">
                  <c:v>0</c:v>
                </c:pt>
              </c:numCache>
            </c:numRef>
          </c:val>
          <c:extLst>
            <c:ext xmlns:c16="http://schemas.microsoft.com/office/drawing/2014/chart" uri="{C3380CC4-5D6E-409C-BE32-E72D297353CC}">
              <c16:uniqueId val="{00000002-0567-4A23-9696-7CC8D8DCE737}"/>
            </c:ext>
          </c:extLst>
        </c:ser>
        <c:dLbls>
          <c:dLblPos val="outEnd"/>
          <c:showLegendKey val="0"/>
          <c:showVal val="1"/>
          <c:showCatName val="0"/>
          <c:showSerName val="0"/>
          <c:showPercent val="0"/>
          <c:showBubbleSize val="0"/>
        </c:dLbls>
        <c:gapWidth val="100"/>
        <c:overlap val="-24"/>
        <c:axId val="451837288"/>
        <c:axId val="451836504"/>
      </c:barChart>
      <c:catAx>
        <c:axId val="45183728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36504"/>
        <c:crosses val="autoZero"/>
        <c:auto val="1"/>
        <c:lblAlgn val="ctr"/>
        <c:lblOffset val="100"/>
        <c:noMultiLvlLbl val="0"/>
      </c:catAx>
      <c:valAx>
        <c:axId val="45183650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37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2021-08-05</a:t>
            </a:r>
          </a:p>
        </c:rich>
      </c:tx>
      <c:layout>
        <c:manualLayout>
          <c:xMode val="edge"/>
          <c:yMode val="edge"/>
          <c:x val="0.12829946229739789"/>
          <c:y val="2.3609096959279263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'August 5, 2021'!$B$2:$B$3</c:f>
              <c:strCache>
                <c:ptCount val="2"/>
                <c:pt idx="0">
                  <c:v>Total Hospital</c:v>
                </c:pt>
                <c:pt idx="1">
                  <c:v>723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5,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5, 2021'!$B$4:$B$16</c:f>
              <c:numCache>
                <c:formatCode>General</c:formatCode>
                <c:ptCount val="13"/>
                <c:pt idx="0">
                  <c:v>78</c:v>
                </c:pt>
                <c:pt idx="1">
                  <c:v>120</c:v>
                </c:pt>
                <c:pt idx="2" formatCode="0">
                  <c:v>223</c:v>
                </c:pt>
                <c:pt idx="3" formatCode="#,##0">
                  <c:v>76</c:v>
                </c:pt>
                <c:pt idx="4">
                  <c:v>1</c:v>
                </c:pt>
                <c:pt idx="5">
                  <c:v>0</c:v>
                </c:pt>
                <c:pt idx="6">
                  <c:v>108</c:v>
                </c:pt>
                <c:pt idx="7">
                  <c:v>0</c:v>
                </c:pt>
                <c:pt idx="8">
                  <c:v>56</c:v>
                </c:pt>
                <c:pt idx="9">
                  <c:v>2</c:v>
                </c:pt>
                <c:pt idx="10">
                  <c:v>0</c:v>
                </c:pt>
                <c:pt idx="11">
                  <c:v>59</c:v>
                </c:pt>
                <c:pt idx="12">
                  <c:v>0</c:v>
                </c:pt>
              </c:numCache>
            </c:numRef>
          </c:val>
          <c:extLst>
            <c:ext xmlns:c16="http://schemas.microsoft.com/office/drawing/2014/chart" uri="{C3380CC4-5D6E-409C-BE32-E72D297353CC}">
              <c16:uniqueId val="{00000000-9133-4D6A-B601-D3F62AB5B1B9}"/>
            </c:ext>
          </c:extLst>
        </c:ser>
        <c:ser>
          <c:idx val="1"/>
          <c:order val="1"/>
          <c:tx>
            <c:strRef>
              <c:f>'August 5, 2021'!$C$2:$C$3</c:f>
              <c:strCache>
                <c:ptCount val="2"/>
                <c:pt idx="0">
                  <c:v>Total ICU</c:v>
                </c:pt>
                <c:pt idx="1">
                  <c:v>202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133-4D6A-B601-D3F62AB5B1B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5,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5, 2021'!$C$4:$C$16</c:f>
              <c:numCache>
                <c:formatCode>General</c:formatCode>
                <c:ptCount val="13"/>
                <c:pt idx="0">
                  <c:v>23</c:v>
                </c:pt>
                <c:pt idx="1">
                  <c:v>23</c:v>
                </c:pt>
                <c:pt idx="2">
                  <c:v>110</c:v>
                </c:pt>
                <c:pt idx="3">
                  <c:v>16</c:v>
                </c:pt>
                <c:pt idx="4">
                  <c:v>1</c:v>
                </c:pt>
                <c:pt idx="5">
                  <c:v>0</c:v>
                </c:pt>
                <c:pt idx="6">
                  <c:v>17</c:v>
                </c:pt>
                <c:pt idx="7">
                  <c:v>0</c:v>
                </c:pt>
                <c:pt idx="8">
                  <c:v>12</c:v>
                </c:pt>
                <c:pt idx="9">
                  <c:v>0</c:v>
                </c:pt>
                <c:pt idx="10">
                  <c:v>0</c:v>
                </c:pt>
                <c:pt idx="11">
                  <c:v>0</c:v>
                </c:pt>
                <c:pt idx="12">
                  <c:v>0</c:v>
                </c:pt>
              </c:numCache>
            </c:numRef>
          </c:val>
          <c:extLst>
            <c:ext xmlns:c16="http://schemas.microsoft.com/office/drawing/2014/chart" uri="{C3380CC4-5D6E-409C-BE32-E72D297353CC}">
              <c16:uniqueId val="{00000002-9133-4D6A-B601-D3F62AB5B1B9}"/>
            </c:ext>
          </c:extLst>
        </c:ser>
        <c:dLbls>
          <c:dLblPos val="outEnd"/>
          <c:showLegendKey val="0"/>
          <c:showVal val="1"/>
          <c:showCatName val="0"/>
          <c:showSerName val="0"/>
          <c:showPercent val="0"/>
          <c:showBubbleSize val="0"/>
        </c:dLbls>
        <c:gapWidth val="100"/>
        <c:overlap val="-24"/>
        <c:axId val="451838072"/>
        <c:axId val="451839640"/>
      </c:barChart>
      <c:catAx>
        <c:axId val="45183807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39640"/>
        <c:crosses val="autoZero"/>
        <c:auto val="1"/>
        <c:lblAlgn val="ctr"/>
        <c:lblOffset val="100"/>
        <c:noMultiLvlLbl val="0"/>
      </c:catAx>
      <c:valAx>
        <c:axId val="45183964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38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2021-08-03</a:t>
            </a:r>
          </a:p>
        </c:rich>
      </c:tx>
      <c:layout>
        <c:manualLayout>
          <c:xMode val="edge"/>
          <c:yMode val="edge"/>
          <c:x val="0.12829946229739789"/>
          <c:y val="2.3609096959279263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'August 3, 2021'!$B$2:$B$3</c:f>
              <c:strCache>
                <c:ptCount val="2"/>
                <c:pt idx="0">
                  <c:v>Total Hospital</c:v>
                </c:pt>
                <c:pt idx="1">
                  <c:v>652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3,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3, 2021'!$B$4:$B$16</c:f>
              <c:numCache>
                <c:formatCode>General</c:formatCode>
                <c:ptCount val="13"/>
                <c:pt idx="0">
                  <c:v>63</c:v>
                </c:pt>
                <c:pt idx="1">
                  <c:v>109</c:v>
                </c:pt>
                <c:pt idx="2" formatCode="0">
                  <c:v>177</c:v>
                </c:pt>
                <c:pt idx="3" formatCode="#,##0">
                  <c:v>76</c:v>
                </c:pt>
                <c:pt idx="4">
                  <c:v>1</c:v>
                </c:pt>
                <c:pt idx="5">
                  <c:v>0</c:v>
                </c:pt>
                <c:pt idx="6">
                  <c:v>114</c:v>
                </c:pt>
                <c:pt idx="7">
                  <c:v>0</c:v>
                </c:pt>
                <c:pt idx="8">
                  <c:v>58</c:v>
                </c:pt>
                <c:pt idx="9">
                  <c:v>2</c:v>
                </c:pt>
                <c:pt idx="10">
                  <c:v>0</c:v>
                </c:pt>
                <c:pt idx="11">
                  <c:v>52</c:v>
                </c:pt>
                <c:pt idx="12">
                  <c:v>0</c:v>
                </c:pt>
              </c:numCache>
            </c:numRef>
          </c:val>
          <c:extLst>
            <c:ext xmlns:c16="http://schemas.microsoft.com/office/drawing/2014/chart" uri="{C3380CC4-5D6E-409C-BE32-E72D297353CC}">
              <c16:uniqueId val="{00000000-5C6E-44DD-97D6-D565DC14AF40}"/>
            </c:ext>
          </c:extLst>
        </c:ser>
        <c:ser>
          <c:idx val="1"/>
          <c:order val="1"/>
          <c:tx>
            <c:strRef>
              <c:f>'August 3, 2021'!$C$2:$C$3</c:f>
              <c:strCache>
                <c:ptCount val="2"/>
                <c:pt idx="0">
                  <c:v>Total ICU</c:v>
                </c:pt>
                <c:pt idx="1">
                  <c:v>190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C6E-44DD-97D6-D565DC14AF4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3,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3, 2021'!$C$4:$C$16</c:f>
              <c:numCache>
                <c:formatCode>General</c:formatCode>
                <c:ptCount val="13"/>
                <c:pt idx="0">
                  <c:v>16</c:v>
                </c:pt>
                <c:pt idx="1">
                  <c:v>19</c:v>
                </c:pt>
                <c:pt idx="2">
                  <c:v>106</c:v>
                </c:pt>
                <c:pt idx="3">
                  <c:v>18</c:v>
                </c:pt>
                <c:pt idx="4">
                  <c:v>1</c:v>
                </c:pt>
                <c:pt idx="5">
                  <c:v>0</c:v>
                </c:pt>
                <c:pt idx="6">
                  <c:v>19</c:v>
                </c:pt>
                <c:pt idx="7">
                  <c:v>0</c:v>
                </c:pt>
                <c:pt idx="8">
                  <c:v>11</c:v>
                </c:pt>
                <c:pt idx="9">
                  <c:v>0</c:v>
                </c:pt>
                <c:pt idx="10">
                  <c:v>0</c:v>
                </c:pt>
                <c:pt idx="11">
                  <c:v>0</c:v>
                </c:pt>
                <c:pt idx="12">
                  <c:v>0</c:v>
                </c:pt>
              </c:numCache>
            </c:numRef>
          </c:val>
          <c:extLst>
            <c:ext xmlns:c16="http://schemas.microsoft.com/office/drawing/2014/chart" uri="{C3380CC4-5D6E-409C-BE32-E72D297353CC}">
              <c16:uniqueId val="{00000002-5C6E-44DD-97D6-D565DC14AF40}"/>
            </c:ext>
          </c:extLst>
        </c:ser>
        <c:dLbls>
          <c:dLblPos val="outEnd"/>
          <c:showLegendKey val="0"/>
          <c:showVal val="1"/>
          <c:showCatName val="0"/>
          <c:showSerName val="0"/>
          <c:showPercent val="0"/>
          <c:showBubbleSize val="0"/>
        </c:dLbls>
        <c:gapWidth val="100"/>
        <c:overlap val="-24"/>
        <c:axId val="451838856"/>
        <c:axId val="451839248"/>
      </c:barChart>
      <c:catAx>
        <c:axId val="45183885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39248"/>
        <c:crosses val="autoZero"/>
        <c:auto val="1"/>
        <c:lblAlgn val="ctr"/>
        <c:lblOffset val="100"/>
        <c:noMultiLvlLbl val="0"/>
      </c:catAx>
      <c:valAx>
        <c:axId val="45183924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388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2021-07-30</a:t>
            </a:r>
          </a:p>
        </c:rich>
      </c:tx>
      <c:layout>
        <c:manualLayout>
          <c:xMode val="edge"/>
          <c:yMode val="edge"/>
          <c:x val="0.12829946229739789"/>
          <c:y val="2.3609096959279263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'July 30, 2021'!$B$2:$B$3</c:f>
              <c:strCache>
                <c:ptCount val="2"/>
                <c:pt idx="0">
                  <c:v>Total Hospital</c:v>
                </c:pt>
                <c:pt idx="1">
                  <c:v>715</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30,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30, 2021'!$B$4:$B$16</c:f>
              <c:numCache>
                <c:formatCode>General</c:formatCode>
                <c:ptCount val="13"/>
                <c:pt idx="0">
                  <c:v>71</c:v>
                </c:pt>
                <c:pt idx="1">
                  <c:v>109</c:v>
                </c:pt>
                <c:pt idx="2" formatCode="0">
                  <c:v>225</c:v>
                </c:pt>
                <c:pt idx="3" formatCode="#,##0">
                  <c:v>82</c:v>
                </c:pt>
                <c:pt idx="4">
                  <c:v>0</c:v>
                </c:pt>
                <c:pt idx="5">
                  <c:v>0</c:v>
                </c:pt>
                <c:pt idx="6">
                  <c:v>131</c:v>
                </c:pt>
                <c:pt idx="7">
                  <c:v>0</c:v>
                </c:pt>
                <c:pt idx="8">
                  <c:v>43</c:v>
                </c:pt>
                <c:pt idx="9">
                  <c:v>2</c:v>
                </c:pt>
                <c:pt idx="10">
                  <c:v>0</c:v>
                </c:pt>
                <c:pt idx="11">
                  <c:v>52</c:v>
                </c:pt>
                <c:pt idx="12">
                  <c:v>0</c:v>
                </c:pt>
              </c:numCache>
            </c:numRef>
          </c:val>
          <c:extLst>
            <c:ext xmlns:c16="http://schemas.microsoft.com/office/drawing/2014/chart" uri="{C3380CC4-5D6E-409C-BE32-E72D297353CC}">
              <c16:uniqueId val="{00000000-BE98-419A-8E65-5B401BA8FFB3}"/>
            </c:ext>
          </c:extLst>
        </c:ser>
        <c:ser>
          <c:idx val="1"/>
          <c:order val="1"/>
          <c:tx>
            <c:strRef>
              <c:f>'July 30, 2021'!$C$2:$C$3</c:f>
              <c:strCache>
                <c:ptCount val="2"/>
                <c:pt idx="0">
                  <c:v>Total ICU</c:v>
                </c:pt>
                <c:pt idx="1">
                  <c:v>275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98-419A-8E65-5B401BA8FFB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30,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30, 2021'!$C$4:$C$16</c:f>
              <c:numCache>
                <c:formatCode>General</c:formatCode>
                <c:ptCount val="13"/>
                <c:pt idx="0">
                  <c:v>20</c:v>
                </c:pt>
                <c:pt idx="1">
                  <c:v>20</c:v>
                </c:pt>
                <c:pt idx="2">
                  <c:v>177</c:v>
                </c:pt>
                <c:pt idx="3">
                  <c:v>20</c:v>
                </c:pt>
                <c:pt idx="4">
                  <c:v>0</c:v>
                </c:pt>
                <c:pt idx="5">
                  <c:v>0</c:v>
                </c:pt>
                <c:pt idx="6">
                  <c:v>29</c:v>
                </c:pt>
                <c:pt idx="7">
                  <c:v>0</c:v>
                </c:pt>
                <c:pt idx="8">
                  <c:v>9</c:v>
                </c:pt>
                <c:pt idx="9">
                  <c:v>0</c:v>
                </c:pt>
                <c:pt idx="10">
                  <c:v>0</c:v>
                </c:pt>
                <c:pt idx="11">
                  <c:v>0</c:v>
                </c:pt>
                <c:pt idx="12">
                  <c:v>0</c:v>
                </c:pt>
              </c:numCache>
            </c:numRef>
          </c:val>
          <c:extLst>
            <c:ext xmlns:c16="http://schemas.microsoft.com/office/drawing/2014/chart" uri="{C3380CC4-5D6E-409C-BE32-E72D297353CC}">
              <c16:uniqueId val="{00000002-BE98-419A-8E65-5B401BA8FFB3}"/>
            </c:ext>
          </c:extLst>
        </c:ser>
        <c:dLbls>
          <c:dLblPos val="outEnd"/>
          <c:showLegendKey val="0"/>
          <c:showVal val="1"/>
          <c:showCatName val="0"/>
          <c:showSerName val="0"/>
          <c:showPercent val="0"/>
          <c:showBubbleSize val="0"/>
        </c:dLbls>
        <c:gapWidth val="100"/>
        <c:overlap val="-24"/>
        <c:axId val="451712632"/>
        <c:axId val="451720472"/>
      </c:barChart>
      <c:catAx>
        <c:axId val="45171263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20472"/>
        <c:crosses val="autoZero"/>
        <c:auto val="1"/>
        <c:lblAlgn val="ctr"/>
        <c:lblOffset val="100"/>
        <c:noMultiLvlLbl val="0"/>
      </c:catAx>
      <c:valAx>
        <c:axId val="45172047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12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2021-07-28</a:t>
            </a:r>
          </a:p>
        </c:rich>
      </c:tx>
      <c:layout>
        <c:manualLayout>
          <c:xMode val="edge"/>
          <c:yMode val="edge"/>
          <c:x val="0.12829946229739789"/>
          <c:y val="2.3609096959279263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'July 28, 2021'!$B$2:$B$3</c:f>
              <c:strCache>
                <c:ptCount val="2"/>
                <c:pt idx="0">
                  <c:v>Total Hospital</c:v>
                </c:pt>
                <c:pt idx="1">
                  <c:v>674</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28,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28, 2021'!$B$4:$B$16</c:f>
              <c:numCache>
                <c:formatCode>General</c:formatCode>
                <c:ptCount val="13"/>
                <c:pt idx="0">
                  <c:v>66</c:v>
                </c:pt>
                <c:pt idx="1">
                  <c:v>103</c:v>
                </c:pt>
                <c:pt idx="2" formatCode="0">
                  <c:v>239</c:v>
                </c:pt>
                <c:pt idx="3" formatCode="#,##0">
                  <c:v>80</c:v>
                </c:pt>
                <c:pt idx="4">
                  <c:v>0</c:v>
                </c:pt>
                <c:pt idx="5">
                  <c:v>0</c:v>
                </c:pt>
                <c:pt idx="6">
                  <c:v>134</c:v>
                </c:pt>
                <c:pt idx="7">
                  <c:v>0</c:v>
                </c:pt>
                <c:pt idx="8">
                  <c:v>50</c:v>
                </c:pt>
                <c:pt idx="9">
                  <c:v>2</c:v>
                </c:pt>
                <c:pt idx="10">
                  <c:v>0</c:v>
                </c:pt>
                <c:pt idx="11">
                  <c:v>0</c:v>
                </c:pt>
                <c:pt idx="12">
                  <c:v>0</c:v>
                </c:pt>
              </c:numCache>
            </c:numRef>
          </c:val>
          <c:extLst>
            <c:ext xmlns:c16="http://schemas.microsoft.com/office/drawing/2014/chart" uri="{C3380CC4-5D6E-409C-BE32-E72D297353CC}">
              <c16:uniqueId val="{00000000-4DE3-4BC5-8485-9B4267E8A091}"/>
            </c:ext>
          </c:extLst>
        </c:ser>
        <c:ser>
          <c:idx val="1"/>
          <c:order val="1"/>
          <c:tx>
            <c:strRef>
              <c:f>'July 28, 2021'!$C$2:$C$3</c:f>
              <c:strCache>
                <c:ptCount val="2"/>
                <c:pt idx="0">
                  <c:v>Total ICU</c:v>
                </c:pt>
                <c:pt idx="1">
                  <c:v>221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DE3-4BC5-8485-9B4267E8A0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28,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28, 2021'!$C$4:$C$16</c:f>
              <c:numCache>
                <c:formatCode>General</c:formatCode>
                <c:ptCount val="13"/>
                <c:pt idx="0">
                  <c:v>22</c:v>
                </c:pt>
                <c:pt idx="1">
                  <c:v>21</c:v>
                </c:pt>
                <c:pt idx="2">
                  <c:v>122</c:v>
                </c:pt>
                <c:pt idx="3">
                  <c:v>19</c:v>
                </c:pt>
                <c:pt idx="4">
                  <c:v>0</c:v>
                </c:pt>
                <c:pt idx="5">
                  <c:v>0</c:v>
                </c:pt>
                <c:pt idx="6">
                  <c:v>27</c:v>
                </c:pt>
                <c:pt idx="7">
                  <c:v>0</c:v>
                </c:pt>
                <c:pt idx="8">
                  <c:v>10</c:v>
                </c:pt>
                <c:pt idx="9">
                  <c:v>0</c:v>
                </c:pt>
                <c:pt idx="10">
                  <c:v>0</c:v>
                </c:pt>
                <c:pt idx="11">
                  <c:v>0</c:v>
                </c:pt>
                <c:pt idx="12">
                  <c:v>0</c:v>
                </c:pt>
              </c:numCache>
            </c:numRef>
          </c:val>
          <c:extLst>
            <c:ext xmlns:c16="http://schemas.microsoft.com/office/drawing/2014/chart" uri="{C3380CC4-5D6E-409C-BE32-E72D297353CC}">
              <c16:uniqueId val="{00000002-4DE3-4BC5-8485-9B4267E8A091}"/>
            </c:ext>
          </c:extLst>
        </c:ser>
        <c:dLbls>
          <c:dLblPos val="outEnd"/>
          <c:showLegendKey val="0"/>
          <c:showVal val="1"/>
          <c:showCatName val="0"/>
          <c:showSerName val="0"/>
          <c:showPercent val="0"/>
          <c:showBubbleSize val="0"/>
        </c:dLbls>
        <c:gapWidth val="100"/>
        <c:overlap val="-24"/>
        <c:axId val="451721648"/>
        <c:axId val="451711064"/>
      </c:barChart>
      <c:catAx>
        <c:axId val="45172164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11064"/>
        <c:crosses val="autoZero"/>
        <c:auto val="1"/>
        <c:lblAlgn val="ctr"/>
        <c:lblOffset val="100"/>
        <c:noMultiLvlLbl val="0"/>
      </c:catAx>
      <c:valAx>
        <c:axId val="45171106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2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2021-07-26</a:t>
            </a:r>
          </a:p>
        </c:rich>
      </c:tx>
      <c:layout>
        <c:manualLayout>
          <c:xMode val="edge"/>
          <c:yMode val="edge"/>
          <c:x val="0.12829946229739789"/>
          <c:y val="2.3609096959279263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'July 26, 2021'!$B$2:$B$3</c:f>
              <c:strCache>
                <c:ptCount val="2"/>
                <c:pt idx="0">
                  <c:v>Total Hospital</c:v>
                </c:pt>
                <c:pt idx="1">
                  <c:v>764</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26,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26, 2021'!$B$4:$B$16</c:f>
              <c:numCache>
                <c:formatCode>General</c:formatCode>
                <c:ptCount val="13"/>
                <c:pt idx="0">
                  <c:v>63</c:v>
                </c:pt>
                <c:pt idx="1">
                  <c:v>110</c:v>
                </c:pt>
                <c:pt idx="2" formatCode="0">
                  <c:v>227</c:v>
                </c:pt>
                <c:pt idx="3" formatCode="#,##0">
                  <c:v>87</c:v>
                </c:pt>
                <c:pt idx="4">
                  <c:v>0</c:v>
                </c:pt>
                <c:pt idx="5">
                  <c:v>0</c:v>
                </c:pt>
                <c:pt idx="6">
                  <c:v>136</c:v>
                </c:pt>
                <c:pt idx="7">
                  <c:v>0</c:v>
                </c:pt>
                <c:pt idx="8">
                  <c:v>62</c:v>
                </c:pt>
                <c:pt idx="9">
                  <c:v>2</c:v>
                </c:pt>
                <c:pt idx="10">
                  <c:v>0</c:v>
                </c:pt>
                <c:pt idx="11">
                  <c:v>77</c:v>
                </c:pt>
                <c:pt idx="12">
                  <c:v>0</c:v>
                </c:pt>
              </c:numCache>
            </c:numRef>
          </c:val>
          <c:extLst>
            <c:ext xmlns:c16="http://schemas.microsoft.com/office/drawing/2014/chart" uri="{C3380CC4-5D6E-409C-BE32-E72D297353CC}">
              <c16:uniqueId val="{00000000-E8D5-4C62-A1D9-04874C552193}"/>
            </c:ext>
          </c:extLst>
        </c:ser>
        <c:ser>
          <c:idx val="1"/>
          <c:order val="1"/>
          <c:tx>
            <c:strRef>
              <c:f>'July 26, 2021'!$C$2:$C$3</c:f>
              <c:strCache>
                <c:ptCount val="2"/>
                <c:pt idx="0">
                  <c:v>Total ICU</c:v>
                </c:pt>
                <c:pt idx="1">
                  <c:v>231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D5-4C62-A1D9-04874C55219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26,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26, 2021'!$C$4:$C$16</c:f>
              <c:numCache>
                <c:formatCode>General</c:formatCode>
                <c:ptCount val="13"/>
                <c:pt idx="0">
                  <c:v>17</c:v>
                </c:pt>
                <c:pt idx="1">
                  <c:v>26</c:v>
                </c:pt>
                <c:pt idx="2">
                  <c:v>131</c:v>
                </c:pt>
                <c:pt idx="3">
                  <c:v>20</c:v>
                </c:pt>
                <c:pt idx="4">
                  <c:v>0</c:v>
                </c:pt>
                <c:pt idx="5">
                  <c:v>0</c:v>
                </c:pt>
                <c:pt idx="6">
                  <c:v>26</c:v>
                </c:pt>
                <c:pt idx="7">
                  <c:v>0</c:v>
                </c:pt>
                <c:pt idx="8">
                  <c:v>11</c:v>
                </c:pt>
                <c:pt idx="9">
                  <c:v>0</c:v>
                </c:pt>
                <c:pt idx="10">
                  <c:v>0</c:v>
                </c:pt>
                <c:pt idx="11">
                  <c:v>0</c:v>
                </c:pt>
                <c:pt idx="12">
                  <c:v>0</c:v>
                </c:pt>
              </c:numCache>
            </c:numRef>
          </c:val>
          <c:extLst>
            <c:ext xmlns:c16="http://schemas.microsoft.com/office/drawing/2014/chart" uri="{C3380CC4-5D6E-409C-BE32-E72D297353CC}">
              <c16:uniqueId val="{00000002-E8D5-4C62-A1D9-04874C552193}"/>
            </c:ext>
          </c:extLst>
        </c:ser>
        <c:dLbls>
          <c:dLblPos val="outEnd"/>
          <c:showLegendKey val="0"/>
          <c:showVal val="1"/>
          <c:showCatName val="0"/>
          <c:showSerName val="0"/>
          <c:showPercent val="0"/>
          <c:showBubbleSize val="0"/>
        </c:dLbls>
        <c:gapWidth val="100"/>
        <c:overlap val="-24"/>
        <c:axId val="451721256"/>
        <c:axId val="451722432"/>
      </c:barChart>
      <c:catAx>
        <c:axId val="45172125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22432"/>
        <c:crosses val="autoZero"/>
        <c:auto val="1"/>
        <c:lblAlgn val="ctr"/>
        <c:lblOffset val="100"/>
        <c:noMultiLvlLbl val="0"/>
      </c:catAx>
      <c:valAx>
        <c:axId val="45172243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212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2022-06-09</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'June 9, 2022'!$B$2:$B$3</c:f>
              <c:strCache>
                <c:ptCount val="2"/>
                <c:pt idx="0">
                  <c:v>Total Hospital</c:v>
                </c:pt>
                <c:pt idx="1">
                  <c:v>3204</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9,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9, 2022'!$B$4:$B$16</c:f>
              <c:numCache>
                <c:formatCode>General</c:formatCode>
                <c:ptCount val="13"/>
                <c:pt idx="0">
                  <c:v>421</c:v>
                </c:pt>
                <c:pt idx="1">
                  <c:v>816</c:v>
                </c:pt>
                <c:pt idx="2" formatCode="0">
                  <c:v>549</c:v>
                </c:pt>
                <c:pt idx="3" formatCode="#,##0">
                  <c:v>1012</c:v>
                </c:pt>
                <c:pt idx="4">
                  <c:v>32</c:v>
                </c:pt>
                <c:pt idx="5">
                  <c:v>28</c:v>
                </c:pt>
                <c:pt idx="6">
                  <c:v>100</c:v>
                </c:pt>
                <c:pt idx="7">
                  <c:v>9</c:v>
                </c:pt>
                <c:pt idx="8">
                  <c:v>232</c:v>
                </c:pt>
                <c:pt idx="9">
                  <c:v>5</c:v>
                </c:pt>
                <c:pt idx="10">
                  <c:v>0</c:v>
                </c:pt>
                <c:pt idx="11">
                  <c:v>0</c:v>
                </c:pt>
                <c:pt idx="12">
                  <c:v>0</c:v>
                </c:pt>
              </c:numCache>
            </c:numRef>
          </c:val>
          <c:extLst>
            <c:ext xmlns:c16="http://schemas.microsoft.com/office/drawing/2014/chart" uri="{C3380CC4-5D6E-409C-BE32-E72D297353CC}">
              <c16:uniqueId val="{00000000-5F5A-444A-AD45-1FB674C1DE98}"/>
            </c:ext>
          </c:extLst>
        </c:ser>
        <c:ser>
          <c:idx val="1"/>
          <c:order val="1"/>
          <c:tx>
            <c:strRef>
              <c:f>'June 9, 2022'!$C$2:$C$3</c:f>
              <c:strCache>
                <c:ptCount val="2"/>
                <c:pt idx="0">
                  <c:v>Total ICU</c:v>
                </c:pt>
                <c:pt idx="1">
                  <c:v>230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5A-444A-AD45-1FB674C1DE9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9,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9, 2022'!$C$4:$C$16</c:f>
              <c:numCache>
                <c:formatCode>General</c:formatCode>
                <c:ptCount val="13"/>
                <c:pt idx="0">
                  <c:v>41</c:v>
                </c:pt>
                <c:pt idx="1">
                  <c:v>24</c:v>
                </c:pt>
                <c:pt idx="2">
                  <c:v>118</c:v>
                </c:pt>
                <c:pt idx="3">
                  <c:v>25</c:v>
                </c:pt>
                <c:pt idx="4">
                  <c:v>4</c:v>
                </c:pt>
                <c:pt idx="5">
                  <c:v>3</c:v>
                </c:pt>
                <c:pt idx="6">
                  <c:v>7</c:v>
                </c:pt>
                <c:pt idx="7">
                  <c:v>0</c:v>
                </c:pt>
                <c:pt idx="8">
                  <c:v>6</c:v>
                </c:pt>
                <c:pt idx="9">
                  <c:v>2</c:v>
                </c:pt>
                <c:pt idx="10">
                  <c:v>0</c:v>
                </c:pt>
                <c:pt idx="11">
                  <c:v>0</c:v>
                </c:pt>
                <c:pt idx="12">
                  <c:v>0</c:v>
                </c:pt>
              </c:numCache>
            </c:numRef>
          </c:val>
          <c:extLst>
            <c:ext xmlns:c16="http://schemas.microsoft.com/office/drawing/2014/chart" uri="{C3380CC4-5D6E-409C-BE32-E72D297353CC}">
              <c16:uniqueId val="{00000002-5F5A-444A-AD45-1FB674C1DE98}"/>
            </c:ext>
          </c:extLst>
        </c:ser>
        <c:dLbls>
          <c:dLblPos val="outEnd"/>
          <c:showLegendKey val="0"/>
          <c:showVal val="1"/>
          <c:showCatName val="0"/>
          <c:showSerName val="0"/>
          <c:showPercent val="0"/>
          <c:showBubbleSize val="0"/>
        </c:dLbls>
        <c:gapWidth val="100"/>
        <c:overlap val="-24"/>
        <c:axId val="528188568"/>
        <c:axId val="528192880"/>
      </c:barChart>
      <c:catAx>
        <c:axId val="5281885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92880"/>
        <c:crosses val="autoZero"/>
        <c:auto val="1"/>
        <c:lblAlgn val="ctr"/>
        <c:lblOffset val="100"/>
        <c:noMultiLvlLbl val="0"/>
      </c:catAx>
      <c:valAx>
        <c:axId val="5281928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88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2021-07-23</a:t>
            </a:r>
          </a:p>
        </c:rich>
      </c:tx>
      <c:layout>
        <c:manualLayout>
          <c:xMode val="edge"/>
          <c:yMode val="edge"/>
          <c:x val="0.12829946229739789"/>
          <c:y val="2.3609096959279263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'July 23, 2021'!$B$2:$B$3</c:f>
              <c:strCache>
                <c:ptCount val="2"/>
                <c:pt idx="0">
                  <c:v>Total Hospital</c:v>
                </c:pt>
                <c:pt idx="1">
                  <c:v>584</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23,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23, 2021'!$B$4:$B$16</c:f>
              <c:numCache>
                <c:formatCode>General</c:formatCode>
                <c:ptCount val="13"/>
                <c:pt idx="0">
                  <c:v>53</c:v>
                </c:pt>
                <c:pt idx="1">
                  <c:v>93</c:v>
                </c:pt>
                <c:pt idx="2" formatCode="0">
                  <c:v>140</c:v>
                </c:pt>
                <c:pt idx="3" formatCode="#,##0">
                  <c:v>71</c:v>
                </c:pt>
                <c:pt idx="4">
                  <c:v>0</c:v>
                </c:pt>
                <c:pt idx="5">
                  <c:v>0</c:v>
                </c:pt>
                <c:pt idx="6">
                  <c:v>105</c:v>
                </c:pt>
                <c:pt idx="7">
                  <c:v>0</c:v>
                </c:pt>
                <c:pt idx="8">
                  <c:v>48</c:v>
                </c:pt>
                <c:pt idx="9">
                  <c:v>2</c:v>
                </c:pt>
                <c:pt idx="10">
                  <c:v>0</c:v>
                </c:pt>
                <c:pt idx="11">
                  <c:v>72</c:v>
                </c:pt>
                <c:pt idx="12">
                  <c:v>0</c:v>
                </c:pt>
              </c:numCache>
            </c:numRef>
          </c:val>
          <c:extLst>
            <c:ext xmlns:c16="http://schemas.microsoft.com/office/drawing/2014/chart" uri="{C3380CC4-5D6E-409C-BE32-E72D297353CC}">
              <c16:uniqueId val="{00000000-934D-46FA-8FCF-3A9859132CBA}"/>
            </c:ext>
          </c:extLst>
        </c:ser>
        <c:ser>
          <c:idx val="1"/>
          <c:order val="1"/>
          <c:tx>
            <c:strRef>
              <c:f>'July 23, 2021'!$C$2:$C$3</c:f>
              <c:strCache>
                <c:ptCount val="2"/>
                <c:pt idx="0">
                  <c:v>Total ICU</c:v>
                </c:pt>
                <c:pt idx="1">
                  <c:v>243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34D-46FA-8FCF-3A9859132CB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23,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23, 2021'!$C$4:$C$16</c:f>
              <c:numCache>
                <c:formatCode>General</c:formatCode>
                <c:ptCount val="13"/>
                <c:pt idx="0">
                  <c:v>16</c:v>
                </c:pt>
                <c:pt idx="1">
                  <c:v>26</c:v>
                </c:pt>
                <c:pt idx="2">
                  <c:v>141</c:v>
                </c:pt>
                <c:pt idx="3">
                  <c:v>21</c:v>
                </c:pt>
                <c:pt idx="4">
                  <c:v>0</c:v>
                </c:pt>
                <c:pt idx="5">
                  <c:v>0</c:v>
                </c:pt>
                <c:pt idx="6">
                  <c:v>28</c:v>
                </c:pt>
                <c:pt idx="7">
                  <c:v>0</c:v>
                </c:pt>
                <c:pt idx="8">
                  <c:v>11</c:v>
                </c:pt>
                <c:pt idx="9">
                  <c:v>0</c:v>
                </c:pt>
                <c:pt idx="10">
                  <c:v>0</c:v>
                </c:pt>
                <c:pt idx="11">
                  <c:v>0</c:v>
                </c:pt>
                <c:pt idx="12">
                  <c:v>0</c:v>
                </c:pt>
              </c:numCache>
            </c:numRef>
          </c:val>
          <c:extLst>
            <c:ext xmlns:c16="http://schemas.microsoft.com/office/drawing/2014/chart" uri="{C3380CC4-5D6E-409C-BE32-E72D297353CC}">
              <c16:uniqueId val="{00000002-934D-46FA-8FCF-3A9859132CBA}"/>
            </c:ext>
          </c:extLst>
        </c:ser>
        <c:dLbls>
          <c:dLblPos val="outEnd"/>
          <c:showLegendKey val="0"/>
          <c:showVal val="1"/>
          <c:showCatName val="0"/>
          <c:showSerName val="0"/>
          <c:showPercent val="0"/>
          <c:showBubbleSize val="0"/>
        </c:dLbls>
        <c:gapWidth val="100"/>
        <c:overlap val="-24"/>
        <c:axId val="451722040"/>
        <c:axId val="451716160"/>
      </c:barChart>
      <c:catAx>
        <c:axId val="45172204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16160"/>
        <c:crosses val="autoZero"/>
        <c:auto val="1"/>
        <c:lblAlgn val="ctr"/>
        <c:lblOffset val="100"/>
        <c:noMultiLvlLbl val="0"/>
      </c:catAx>
      <c:valAx>
        <c:axId val="45171616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22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2021-07-21</a:t>
            </a:r>
          </a:p>
        </c:rich>
      </c:tx>
      <c:layout>
        <c:manualLayout>
          <c:xMode val="edge"/>
          <c:yMode val="edge"/>
          <c:x val="0.12829946229739789"/>
          <c:y val="2.3609096959279263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'July 21, 2021'!$B$2:$B$3</c:f>
              <c:strCache>
                <c:ptCount val="2"/>
                <c:pt idx="0">
                  <c:v>Total Hospital</c:v>
                </c:pt>
                <c:pt idx="1">
                  <c:v>580</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21,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21, 2021'!$B$4:$B$16</c:f>
              <c:numCache>
                <c:formatCode>General</c:formatCode>
                <c:ptCount val="13"/>
                <c:pt idx="0">
                  <c:v>50</c:v>
                </c:pt>
                <c:pt idx="1">
                  <c:v>98</c:v>
                </c:pt>
                <c:pt idx="2" formatCode="0">
                  <c:v>139</c:v>
                </c:pt>
                <c:pt idx="3" formatCode="#,##0">
                  <c:v>72</c:v>
                </c:pt>
                <c:pt idx="4">
                  <c:v>0</c:v>
                </c:pt>
                <c:pt idx="5">
                  <c:v>0</c:v>
                </c:pt>
                <c:pt idx="6">
                  <c:v>105</c:v>
                </c:pt>
                <c:pt idx="7">
                  <c:v>0</c:v>
                </c:pt>
                <c:pt idx="8">
                  <c:v>49</c:v>
                </c:pt>
                <c:pt idx="9">
                  <c:v>2</c:v>
                </c:pt>
                <c:pt idx="10">
                  <c:v>0</c:v>
                </c:pt>
                <c:pt idx="11">
                  <c:v>65</c:v>
                </c:pt>
                <c:pt idx="12">
                  <c:v>0</c:v>
                </c:pt>
              </c:numCache>
            </c:numRef>
          </c:val>
          <c:extLst>
            <c:ext xmlns:c16="http://schemas.microsoft.com/office/drawing/2014/chart" uri="{C3380CC4-5D6E-409C-BE32-E72D297353CC}">
              <c16:uniqueId val="{00000000-8C51-45B5-AE58-0BDAC41579B3}"/>
            </c:ext>
          </c:extLst>
        </c:ser>
        <c:ser>
          <c:idx val="1"/>
          <c:order val="1"/>
          <c:tx>
            <c:strRef>
              <c:f>'July 21, 2021'!$C$2:$C$3</c:f>
              <c:strCache>
                <c:ptCount val="2"/>
                <c:pt idx="0">
                  <c:v>Total ICU</c:v>
                </c:pt>
                <c:pt idx="1">
                  <c:v>244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C51-45B5-AE58-0BDAC41579B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21,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21, 2021'!$C$4:$C$16</c:f>
              <c:numCache>
                <c:formatCode>General</c:formatCode>
                <c:ptCount val="13"/>
                <c:pt idx="0">
                  <c:v>12</c:v>
                </c:pt>
                <c:pt idx="1">
                  <c:v>27</c:v>
                </c:pt>
                <c:pt idx="2">
                  <c:v>145</c:v>
                </c:pt>
                <c:pt idx="3">
                  <c:v>21</c:v>
                </c:pt>
                <c:pt idx="4">
                  <c:v>0</c:v>
                </c:pt>
                <c:pt idx="5">
                  <c:v>0</c:v>
                </c:pt>
                <c:pt idx="6">
                  <c:v>29</c:v>
                </c:pt>
                <c:pt idx="7">
                  <c:v>0</c:v>
                </c:pt>
                <c:pt idx="8">
                  <c:v>10</c:v>
                </c:pt>
                <c:pt idx="9">
                  <c:v>0</c:v>
                </c:pt>
                <c:pt idx="10">
                  <c:v>0</c:v>
                </c:pt>
                <c:pt idx="11">
                  <c:v>0</c:v>
                </c:pt>
                <c:pt idx="12">
                  <c:v>0</c:v>
                </c:pt>
              </c:numCache>
            </c:numRef>
          </c:val>
          <c:extLst>
            <c:ext xmlns:c16="http://schemas.microsoft.com/office/drawing/2014/chart" uri="{C3380CC4-5D6E-409C-BE32-E72D297353CC}">
              <c16:uniqueId val="{00000002-8C51-45B5-AE58-0BDAC41579B3}"/>
            </c:ext>
          </c:extLst>
        </c:ser>
        <c:dLbls>
          <c:dLblPos val="outEnd"/>
          <c:showLegendKey val="0"/>
          <c:showVal val="1"/>
          <c:showCatName val="0"/>
          <c:showSerName val="0"/>
          <c:showPercent val="0"/>
          <c:showBubbleSize val="0"/>
        </c:dLbls>
        <c:gapWidth val="100"/>
        <c:overlap val="-24"/>
        <c:axId val="451720864"/>
        <c:axId val="451714200"/>
      </c:barChart>
      <c:catAx>
        <c:axId val="45172086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14200"/>
        <c:crosses val="autoZero"/>
        <c:auto val="1"/>
        <c:lblAlgn val="ctr"/>
        <c:lblOffset val="100"/>
        <c:noMultiLvlLbl val="0"/>
      </c:catAx>
      <c:valAx>
        <c:axId val="45171420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20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2021-07-19</a:t>
            </a:r>
          </a:p>
        </c:rich>
      </c:tx>
      <c:layout>
        <c:manualLayout>
          <c:xMode val="edge"/>
          <c:yMode val="edge"/>
          <c:x val="0.12829946229739789"/>
          <c:y val="2.3609096959279263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'July 19, 2021'!$B$2:$B$3</c:f>
              <c:strCache>
                <c:ptCount val="2"/>
                <c:pt idx="0">
                  <c:v>Total Hospital</c:v>
                </c:pt>
                <c:pt idx="1">
                  <c:v>597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19,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19, 2021'!$B$4:$B$16</c:f>
              <c:numCache>
                <c:formatCode>General</c:formatCode>
                <c:ptCount val="13"/>
                <c:pt idx="0">
                  <c:v>60</c:v>
                </c:pt>
                <c:pt idx="1">
                  <c:v>110</c:v>
                </c:pt>
                <c:pt idx="2" formatCode="0">
                  <c:v>115</c:v>
                </c:pt>
                <c:pt idx="3" formatCode="#,##0">
                  <c:v>78</c:v>
                </c:pt>
                <c:pt idx="4">
                  <c:v>1</c:v>
                </c:pt>
                <c:pt idx="5">
                  <c:v>0</c:v>
                </c:pt>
                <c:pt idx="6">
                  <c:v>117</c:v>
                </c:pt>
                <c:pt idx="7">
                  <c:v>0</c:v>
                </c:pt>
                <c:pt idx="8">
                  <c:v>44</c:v>
                </c:pt>
                <c:pt idx="9">
                  <c:v>3</c:v>
                </c:pt>
                <c:pt idx="10">
                  <c:v>0</c:v>
                </c:pt>
                <c:pt idx="11">
                  <c:v>69</c:v>
                </c:pt>
                <c:pt idx="12">
                  <c:v>0</c:v>
                </c:pt>
              </c:numCache>
            </c:numRef>
          </c:val>
          <c:extLst>
            <c:ext xmlns:c16="http://schemas.microsoft.com/office/drawing/2014/chart" uri="{C3380CC4-5D6E-409C-BE32-E72D297353CC}">
              <c16:uniqueId val="{00000000-E79C-4B41-A43D-1B3071E6A57B}"/>
            </c:ext>
          </c:extLst>
        </c:ser>
        <c:ser>
          <c:idx val="1"/>
          <c:order val="1"/>
          <c:tx>
            <c:strRef>
              <c:f>'July 19, 2021'!$C$2:$C$3</c:f>
              <c:strCache>
                <c:ptCount val="2"/>
                <c:pt idx="0">
                  <c:v>Total ICU</c:v>
                </c:pt>
                <c:pt idx="1">
                  <c:v>251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79C-4B41-A43D-1B3071E6A57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19,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19, 2021'!$C$4:$C$16</c:f>
              <c:numCache>
                <c:formatCode>General</c:formatCode>
                <c:ptCount val="13"/>
                <c:pt idx="0">
                  <c:v>12</c:v>
                </c:pt>
                <c:pt idx="1">
                  <c:v>28</c:v>
                </c:pt>
                <c:pt idx="2">
                  <c:v>151</c:v>
                </c:pt>
                <c:pt idx="3">
                  <c:v>23</c:v>
                </c:pt>
                <c:pt idx="4">
                  <c:v>1</c:v>
                </c:pt>
                <c:pt idx="5">
                  <c:v>0</c:v>
                </c:pt>
                <c:pt idx="6">
                  <c:v>27</c:v>
                </c:pt>
                <c:pt idx="7">
                  <c:v>0</c:v>
                </c:pt>
                <c:pt idx="8">
                  <c:v>9</c:v>
                </c:pt>
                <c:pt idx="9">
                  <c:v>0</c:v>
                </c:pt>
                <c:pt idx="10">
                  <c:v>0</c:v>
                </c:pt>
                <c:pt idx="11">
                  <c:v>0</c:v>
                </c:pt>
                <c:pt idx="12">
                  <c:v>0</c:v>
                </c:pt>
              </c:numCache>
            </c:numRef>
          </c:val>
          <c:extLst>
            <c:ext xmlns:c16="http://schemas.microsoft.com/office/drawing/2014/chart" uri="{C3380CC4-5D6E-409C-BE32-E72D297353CC}">
              <c16:uniqueId val="{00000002-E79C-4B41-A43D-1B3071E6A57B}"/>
            </c:ext>
          </c:extLst>
        </c:ser>
        <c:dLbls>
          <c:dLblPos val="outEnd"/>
          <c:showLegendKey val="0"/>
          <c:showVal val="1"/>
          <c:showCatName val="0"/>
          <c:showSerName val="0"/>
          <c:showPercent val="0"/>
          <c:showBubbleSize val="0"/>
        </c:dLbls>
        <c:gapWidth val="100"/>
        <c:overlap val="-24"/>
        <c:axId val="451717728"/>
        <c:axId val="451718120"/>
      </c:barChart>
      <c:catAx>
        <c:axId val="45171772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18120"/>
        <c:crosses val="autoZero"/>
        <c:auto val="1"/>
        <c:lblAlgn val="ctr"/>
        <c:lblOffset val="100"/>
        <c:noMultiLvlLbl val="0"/>
      </c:catAx>
      <c:valAx>
        <c:axId val="45171812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177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2021-07-16</a:t>
            </a:r>
          </a:p>
        </c:rich>
      </c:tx>
      <c:layout>
        <c:manualLayout>
          <c:xMode val="edge"/>
          <c:yMode val="edge"/>
          <c:x val="0.12829946229739789"/>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'July 16, 2021'!$B$2:$B$3</c:f>
              <c:strCache>
                <c:ptCount val="2"/>
                <c:pt idx="0">
                  <c:v>Total Hospital</c:v>
                </c:pt>
                <c:pt idx="1">
                  <c:v>653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16,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16, 2021'!$B$4:$B$16</c:f>
              <c:numCache>
                <c:formatCode>General</c:formatCode>
                <c:ptCount val="13"/>
                <c:pt idx="0">
                  <c:v>63</c:v>
                </c:pt>
                <c:pt idx="1">
                  <c:v>107</c:v>
                </c:pt>
                <c:pt idx="2" formatCode="0">
                  <c:v>159</c:v>
                </c:pt>
                <c:pt idx="3" formatCode="#,##0">
                  <c:v>84</c:v>
                </c:pt>
                <c:pt idx="4">
                  <c:v>1</c:v>
                </c:pt>
                <c:pt idx="5">
                  <c:v>0</c:v>
                </c:pt>
                <c:pt idx="6">
                  <c:v>126</c:v>
                </c:pt>
                <c:pt idx="7">
                  <c:v>0</c:v>
                </c:pt>
                <c:pt idx="8">
                  <c:v>43</c:v>
                </c:pt>
                <c:pt idx="9">
                  <c:v>1</c:v>
                </c:pt>
                <c:pt idx="10">
                  <c:v>0</c:v>
                </c:pt>
                <c:pt idx="11">
                  <c:v>69</c:v>
                </c:pt>
                <c:pt idx="12">
                  <c:v>0</c:v>
                </c:pt>
              </c:numCache>
            </c:numRef>
          </c:val>
          <c:extLst>
            <c:ext xmlns:c16="http://schemas.microsoft.com/office/drawing/2014/chart" uri="{C3380CC4-5D6E-409C-BE32-E72D297353CC}">
              <c16:uniqueId val="{00000000-9C5C-4F2A-978F-7C2505B030D9}"/>
            </c:ext>
          </c:extLst>
        </c:ser>
        <c:ser>
          <c:idx val="1"/>
          <c:order val="1"/>
          <c:tx>
            <c:strRef>
              <c:f>'July 16, 2021'!$C$2:$C$3</c:f>
              <c:strCache>
                <c:ptCount val="2"/>
                <c:pt idx="0">
                  <c:v>Total ICU</c:v>
                </c:pt>
                <c:pt idx="1">
                  <c:v>264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C5C-4F2A-978F-7C2505B030D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16,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16, 2021'!$C$4:$C$16</c:f>
              <c:numCache>
                <c:formatCode>General</c:formatCode>
                <c:ptCount val="13"/>
                <c:pt idx="0">
                  <c:v>11</c:v>
                </c:pt>
                <c:pt idx="1">
                  <c:v>31</c:v>
                </c:pt>
                <c:pt idx="2">
                  <c:v>158</c:v>
                </c:pt>
                <c:pt idx="3">
                  <c:v>25</c:v>
                </c:pt>
                <c:pt idx="4">
                  <c:v>1</c:v>
                </c:pt>
                <c:pt idx="5">
                  <c:v>0</c:v>
                </c:pt>
                <c:pt idx="6">
                  <c:v>29</c:v>
                </c:pt>
                <c:pt idx="7">
                  <c:v>0</c:v>
                </c:pt>
                <c:pt idx="8">
                  <c:v>9</c:v>
                </c:pt>
                <c:pt idx="9">
                  <c:v>0</c:v>
                </c:pt>
                <c:pt idx="10">
                  <c:v>0</c:v>
                </c:pt>
                <c:pt idx="11">
                  <c:v>0</c:v>
                </c:pt>
                <c:pt idx="12">
                  <c:v>0</c:v>
                </c:pt>
              </c:numCache>
            </c:numRef>
          </c:val>
          <c:extLst>
            <c:ext xmlns:c16="http://schemas.microsoft.com/office/drawing/2014/chart" uri="{C3380CC4-5D6E-409C-BE32-E72D297353CC}">
              <c16:uniqueId val="{00000002-9C5C-4F2A-978F-7C2505B030D9}"/>
            </c:ext>
          </c:extLst>
        </c:ser>
        <c:dLbls>
          <c:dLblPos val="outEnd"/>
          <c:showLegendKey val="0"/>
          <c:showVal val="1"/>
          <c:showCatName val="0"/>
          <c:showSerName val="0"/>
          <c:showPercent val="0"/>
          <c:showBubbleSize val="0"/>
        </c:dLbls>
        <c:gapWidth val="100"/>
        <c:overlap val="-24"/>
        <c:axId val="451717336"/>
        <c:axId val="451723216"/>
      </c:barChart>
      <c:catAx>
        <c:axId val="45171733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23216"/>
        <c:crosses val="autoZero"/>
        <c:auto val="1"/>
        <c:lblAlgn val="ctr"/>
        <c:lblOffset val="100"/>
        <c:noMultiLvlLbl val="0"/>
      </c:catAx>
      <c:valAx>
        <c:axId val="45172321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17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2021-07-14</a:t>
            </a:r>
          </a:p>
        </c:rich>
      </c:tx>
      <c:layout>
        <c:manualLayout>
          <c:xMode val="edge"/>
          <c:yMode val="edge"/>
          <c:x val="0.12829946229739789"/>
          <c:y val="2.3609096959279263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'July 14, 2021'!$B$2:$B$3</c:f>
              <c:strCache>
                <c:ptCount val="2"/>
                <c:pt idx="0">
                  <c:v>Total Hospital</c:v>
                </c:pt>
                <c:pt idx="1">
                  <c:v>609</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14,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14, 2021'!$B$4:$B$16</c:f>
              <c:numCache>
                <c:formatCode>General</c:formatCode>
                <c:ptCount val="13"/>
                <c:pt idx="0">
                  <c:v>66</c:v>
                </c:pt>
                <c:pt idx="1">
                  <c:v>112</c:v>
                </c:pt>
                <c:pt idx="2" formatCode="0">
                  <c:v>174</c:v>
                </c:pt>
                <c:pt idx="3" formatCode="#,##0">
                  <c:v>79</c:v>
                </c:pt>
                <c:pt idx="4">
                  <c:v>1</c:v>
                </c:pt>
                <c:pt idx="5">
                  <c:v>0</c:v>
                </c:pt>
                <c:pt idx="6">
                  <c:v>129</c:v>
                </c:pt>
                <c:pt idx="7">
                  <c:v>0</c:v>
                </c:pt>
                <c:pt idx="8">
                  <c:v>47</c:v>
                </c:pt>
                <c:pt idx="9">
                  <c:v>1</c:v>
                </c:pt>
                <c:pt idx="10">
                  <c:v>0</c:v>
                </c:pt>
                <c:pt idx="11">
                  <c:v>0</c:v>
                </c:pt>
                <c:pt idx="12">
                  <c:v>0</c:v>
                </c:pt>
              </c:numCache>
            </c:numRef>
          </c:val>
          <c:extLst>
            <c:ext xmlns:c16="http://schemas.microsoft.com/office/drawing/2014/chart" uri="{C3380CC4-5D6E-409C-BE32-E72D297353CC}">
              <c16:uniqueId val="{00000000-1E59-4C48-988C-864C9704D143}"/>
            </c:ext>
          </c:extLst>
        </c:ser>
        <c:ser>
          <c:idx val="1"/>
          <c:order val="1"/>
          <c:tx>
            <c:strRef>
              <c:f>'July 14, 2021'!$C$2:$C$3</c:f>
              <c:strCache>
                <c:ptCount val="2"/>
                <c:pt idx="0">
                  <c:v>Total ICU</c:v>
                </c:pt>
                <c:pt idx="1">
                  <c:v>294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E59-4C48-988C-864C9704D14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14,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14, 2021'!$C$4:$C$16</c:f>
              <c:numCache>
                <c:formatCode>General</c:formatCode>
                <c:ptCount val="13"/>
                <c:pt idx="0">
                  <c:v>14</c:v>
                </c:pt>
                <c:pt idx="1">
                  <c:v>33</c:v>
                </c:pt>
                <c:pt idx="2">
                  <c:v>180</c:v>
                </c:pt>
                <c:pt idx="3">
                  <c:v>25</c:v>
                </c:pt>
                <c:pt idx="4">
                  <c:v>1</c:v>
                </c:pt>
                <c:pt idx="5">
                  <c:v>0</c:v>
                </c:pt>
                <c:pt idx="6">
                  <c:v>31</c:v>
                </c:pt>
                <c:pt idx="7">
                  <c:v>0</c:v>
                </c:pt>
                <c:pt idx="8">
                  <c:v>10</c:v>
                </c:pt>
                <c:pt idx="9">
                  <c:v>0</c:v>
                </c:pt>
                <c:pt idx="10">
                  <c:v>0</c:v>
                </c:pt>
                <c:pt idx="11">
                  <c:v>0</c:v>
                </c:pt>
                <c:pt idx="12">
                  <c:v>0</c:v>
                </c:pt>
              </c:numCache>
            </c:numRef>
          </c:val>
          <c:extLst>
            <c:ext xmlns:c16="http://schemas.microsoft.com/office/drawing/2014/chart" uri="{C3380CC4-5D6E-409C-BE32-E72D297353CC}">
              <c16:uniqueId val="{00000002-1E59-4C48-988C-864C9704D143}"/>
            </c:ext>
          </c:extLst>
        </c:ser>
        <c:dLbls>
          <c:dLblPos val="outEnd"/>
          <c:showLegendKey val="0"/>
          <c:showVal val="1"/>
          <c:showCatName val="0"/>
          <c:showSerName val="0"/>
          <c:showPercent val="0"/>
          <c:showBubbleSize val="0"/>
        </c:dLbls>
        <c:gapWidth val="100"/>
        <c:overlap val="-24"/>
        <c:axId val="451711456"/>
        <c:axId val="451720080"/>
      </c:barChart>
      <c:catAx>
        <c:axId val="45171145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20080"/>
        <c:crosses val="autoZero"/>
        <c:auto val="1"/>
        <c:lblAlgn val="ctr"/>
        <c:lblOffset val="100"/>
        <c:noMultiLvlLbl val="0"/>
      </c:catAx>
      <c:valAx>
        <c:axId val="4517200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11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2021-07-12</a:t>
            </a:r>
          </a:p>
        </c:rich>
      </c:tx>
      <c:layout>
        <c:manualLayout>
          <c:xMode val="edge"/>
          <c:yMode val="edge"/>
          <c:x val="0.12829946229739789"/>
          <c:y val="2.3609096959279263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'July 12, 2021'!$B$2:$B$3</c:f>
              <c:strCache>
                <c:ptCount val="2"/>
                <c:pt idx="0">
                  <c:v>Total Hospital</c:v>
                </c:pt>
                <c:pt idx="1">
                  <c:v>614</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12,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12, 2021'!$B$4:$B$16</c:f>
              <c:numCache>
                <c:formatCode>General</c:formatCode>
                <c:ptCount val="13"/>
                <c:pt idx="0">
                  <c:v>73</c:v>
                </c:pt>
                <c:pt idx="1">
                  <c:v>126</c:v>
                </c:pt>
                <c:pt idx="2" formatCode="0">
                  <c:v>142</c:v>
                </c:pt>
                <c:pt idx="3" formatCode="#,##0">
                  <c:v>88</c:v>
                </c:pt>
                <c:pt idx="4">
                  <c:v>1</c:v>
                </c:pt>
                <c:pt idx="5">
                  <c:v>1</c:v>
                </c:pt>
                <c:pt idx="6">
                  <c:v>135</c:v>
                </c:pt>
                <c:pt idx="7">
                  <c:v>0</c:v>
                </c:pt>
                <c:pt idx="8">
                  <c:v>48</c:v>
                </c:pt>
                <c:pt idx="9">
                  <c:v>0</c:v>
                </c:pt>
                <c:pt idx="10">
                  <c:v>0</c:v>
                </c:pt>
                <c:pt idx="11">
                  <c:v>0</c:v>
                </c:pt>
                <c:pt idx="12">
                  <c:v>0</c:v>
                </c:pt>
              </c:numCache>
            </c:numRef>
          </c:val>
          <c:extLst>
            <c:ext xmlns:c16="http://schemas.microsoft.com/office/drawing/2014/chart" uri="{C3380CC4-5D6E-409C-BE32-E72D297353CC}">
              <c16:uniqueId val="{00000000-C6DC-4E00-A875-F3B04663B673}"/>
            </c:ext>
          </c:extLst>
        </c:ser>
        <c:ser>
          <c:idx val="1"/>
          <c:order val="1"/>
          <c:tx>
            <c:strRef>
              <c:f>'July 12, 2021'!$C$2:$C$3</c:f>
              <c:strCache>
                <c:ptCount val="2"/>
                <c:pt idx="0">
                  <c:v>Total ICU</c:v>
                </c:pt>
                <c:pt idx="1">
                  <c:v>321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6DC-4E00-A875-F3B04663B67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12,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12, 2021'!$C$4:$C$16</c:f>
              <c:numCache>
                <c:formatCode>General</c:formatCode>
                <c:ptCount val="13"/>
                <c:pt idx="0">
                  <c:v>19</c:v>
                </c:pt>
                <c:pt idx="1">
                  <c:v>35</c:v>
                </c:pt>
                <c:pt idx="2">
                  <c:v>204</c:v>
                </c:pt>
                <c:pt idx="3">
                  <c:v>25</c:v>
                </c:pt>
                <c:pt idx="4">
                  <c:v>2</c:v>
                </c:pt>
                <c:pt idx="5">
                  <c:v>0</c:v>
                </c:pt>
                <c:pt idx="6">
                  <c:v>30</c:v>
                </c:pt>
                <c:pt idx="7">
                  <c:v>0</c:v>
                </c:pt>
                <c:pt idx="8">
                  <c:v>6</c:v>
                </c:pt>
                <c:pt idx="9">
                  <c:v>0</c:v>
                </c:pt>
                <c:pt idx="10">
                  <c:v>0</c:v>
                </c:pt>
                <c:pt idx="11">
                  <c:v>0</c:v>
                </c:pt>
                <c:pt idx="12">
                  <c:v>0</c:v>
                </c:pt>
              </c:numCache>
            </c:numRef>
          </c:val>
          <c:extLst>
            <c:ext xmlns:c16="http://schemas.microsoft.com/office/drawing/2014/chart" uri="{C3380CC4-5D6E-409C-BE32-E72D297353CC}">
              <c16:uniqueId val="{00000002-C6DC-4E00-A875-F3B04663B673}"/>
            </c:ext>
          </c:extLst>
        </c:ser>
        <c:dLbls>
          <c:dLblPos val="outEnd"/>
          <c:showLegendKey val="0"/>
          <c:showVal val="1"/>
          <c:showCatName val="0"/>
          <c:showSerName val="0"/>
          <c:showPercent val="0"/>
          <c:showBubbleSize val="0"/>
        </c:dLbls>
        <c:gapWidth val="100"/>
        <c:overlap val="-24"/>
        <c:axId val="451713416"/>
        <c:axId val="451713808"/>
      </c:barChart>
      <c:catAx>
        <c:axId val="45171341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13808"/>
        <c:crosses val="autoZero"/>
        <c:auto val="1"/>
        <c:lblAlgn val="ctr"/>
        <c:lblOffset val="100"/>
        <c:noMultiLvlLbl val="0"/>
      </c:catAx>
      <c:valAx>
        <c:axId val="45171380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13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2021-07-09</a:t>
            </a:r>
          </a:p>
        </c:rich>
      </c:tx>
      <c:layout>
        <c:manualLayout>
          <c:xMode val="edge"/>
          <c:yMode val="edge"/>
          <c:x val="0.12829946229739789"/>
          <c:y val="2.3609096959279263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'July 9, 2021'!$B$2:$B$3</c:f>
              <c:strCache>
                <c:ptCount val="2"/>
                <c:pt idx="0">
                  <c:v>Total Hospital</c:v>
                </c:pt>
                <c:pt idx="1">
                  <c:v>683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9,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9, 2021'!$B$4:$B$16</c:f>
              <c:numCache>
                <c:formatCode>General</c:formatCode>
                <c:ptCount val="13"/>
                <c:pt idx="0">
                  <c:v>74</c:v>
                </c:pt>
                <c:pt idx="1">
                  <c:v>133</c:v>
                </c:pt>
                <c:pt idx="2" formatCode="0">
                  <c:v>189</c:v>
                </c:pt>
                <c:pt idx="3" formatCode="#,##0">
                  <c:v>96</c:v>
                </c:pt>
                <c:pt idx="4">
                  <c:v>1</c:v>
                </c:pt>
                <c:pt idx="5">
                  <c:v>2</c:v>
                </c:pt>
                <c:pt idx="6">
                  <c:v>137</c:v>
                </c:pt>
                <c:pt idx="7">
                  <c:v>0</c:v>
                </c:pt>
                <c:pt idx="8">
                  <c:v>51</c:v>
                </c:pt>
                <c:pt idx="9">
                  <c:v>0</c:v>
                </c:pt>
                <c:pt idx="10">
                  <c:v>0</c:v>
                </c:pt>
                <c:pt idx="11">
                  <c:v>0</c:v>
                </c:pt>
                <c:pt idx="12">
                  <c:v>0</c:v>
                </c:pt>
              </c:numCache>
            </c:numRef>
          </c:val>
          <c:extLst>
            <c:ext xmlns:c16="http://schemas.microsoft.com/office/drawing/2014/chart" uri="{C3380CC4-5D6E-409C-BE32-E72D297353CC}">
              <c16:uniqueId val="{00000000-EFDD-4AA9-B8F6-4272187AB2C1}"/>
            </c:ext>
          </c:extLst>
        </c:ser>
        <c:ser>
          <c:idx val="1"/>
          <c:order val="1"/>
          <c:tx>
            <c:strRef>
              <c:f>'July 9, 2021'!$C$2:$C$3</c:f>
              <c:strCache>
                <c:ptCount val="2"/>
                <c:pt idx="0">
                  <c:v>Total ICU</c:v>
                </c:pt>
                <c:pt idx="1">
                  <c:v>321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DD-4AA9-B8F6-4272187AB2C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9,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9, 2021'!$C$4:$C$16</c:f>
              <c:numCache>
                <c:formatCode>General</c:formatCode>
                <c:ptCount val="13"/>
                <c:pt idx="0">
                  <c:v>19</c:v>
                </c:pt>
                <c:pt idx="1">
                  <c:v>32</c:v>
                </c:pt>
                <c:pt idx="2">
                  <c:v>202</c:v>
                </c:pt>
                <c:pt idx="3">
                  <c:v>22</c:v>
                </c:pt>
                <c:pt idx="4">
                  <c:v>1</c:v>
                </c:pt>
                <c:pt idx="5">
                  <c:v>0</c:v>
                </c:pt>
                <c:pt idx="6">
                  <c:v>34</c:v>
                </c:pt>
                <c:pt idx="7">
                  <c:v>0</c:v>
                </c:pt>
                <c:pt idx="8">
                  <c:v>11</c:v>
                </c:pt>
                <c:pt idx="9">
                  <c:v>0</c:v>
                </c:pt>
                <c:pt idx="10">
                  <c:v>0</c:v>
                </c:pt>
                <c:pt idx="11">
                  <c:v>0</c:v>
                </c:pt>
                <c:pt idx="12">
                  <c:v>0</c:v>
                </c:pt>
              </c:numCache>
            </c:numRef>
          </c:val>
          <c:extLst>
            <c:ext xmlns:c16="http://schemas.microsoft.com/office/drawing/2014/chart" uri="{C3380CC4-5D6E-409C-BE32-E72D297353CC}">
              <c16:uniqueId val="{00000002-EFDD-4AA9-B8F6-4272187AB2C1}"/>
            </c:ext>
          </c:extLst>
        </c:ser>
        <c:dLbls>
          <c:dLblPos val="outEnd"/>
          <c:showLegendKey val="0"/>
          <c:showVal val="1"/>
          <c:showCatName val="0"/>
          <c:showSerName val="0"/>
          <c:showPercent val="0"/>
          <c:showBubbleSize val="0"/>
        </c:dLbls>
        <c:gapWidth val="100"/>
        <c:overlap val="-24"/>
        <c:axId val="451714592"/>
        <c:axId val="451714984"/>
      </c:barChart>
      <c:catAx>
        <c:axId val="45171459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14984"/>
        <c:crosses val="autoZero"/>
        <c:auto val="1"/>
        <c:lblAlgn val="ctr"/>
        <c:lblOffset val="100"/>
        <c:noMultiLvlLbl val="0"/>
      </c:catAx>
      <c:valAx>
        <c:axId val="45171498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14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2021-07-07</a:t>
            </a:r>
          </a:p>
        </c:rich>
      </c:tx>
      <c:layout>
        <c:manualLayout>
          <c:xMode val="edge"/>
          <c:yMode val="edge"/>
          <c:x val="0.12829946229739789"/>
          <c:y val="2.3609096959279263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'July 7, 2021'!$B$2:$B$3</c:f>
              <c:strCache>
                <c:ptCount val="2"/>
                <c:pt idx="0">
                  <c:v>Total Hospital</c:v>
                </c:pt>
                <c:pt idx="1">
                  <c:v>736</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7,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7, 2021'!$B$4:$B$16</c:f>
              <c:numCache>
                <c:formatCode>General</c:formatCode>
                <c:ptCount val="13"/>
                <c:pt idx="0">
                  <c:v>87</c:v>
                </c:pt>
                <c:pt idx="1">
                  <c:v>138</c:v>
                </c:pt>
                <c:pt idx="2" formatCode="0">
                  <c:v>201</c:v>
                </c:pt>
                <c:pt idx="3" formatCode="#,##0">
                  <c:v>103</c:v>
                </c:pt>
                <c:pt idx="4">
                  <c:v>2</c:v>
                </c:pt>
                <c:pt idx="5">
                  <c:v>4</c:v>
                </c:pt>
                <c:pt idx="6">
                  <c:v>149</c:v>
                </c:pt>
                <c:pt idx="7">
                  <c:v>0</c:v>
                </c:pt>
                <c:pt idx="8">
                  <c:v>52</c:v>
                </c:pt>
                <c:pt idx="9">
                  <c:v>0</c:v>
                </c:pt>
                <c:pt idx="10">
                  <c:v>0</c:v>
                </c:pt>
                <c:pt idx="11">
                  <c:v>0</c:v>
                </c:pt>
                <c:pt idx="12">
                  <c:v>0</c:v>
                </c:pt>
              </c:numCache>
            </c:numRef>
          </c:val>
          <c:extLst>
            <c:ext xmlns:c16="http://schemas.microsoft.com/office/drawing/2014/chart" uri="{C3380CC4-5D6E-409C-BE32-E72D297353CC}">
              <c16:uniqueId val="{00000000-C295-41C9-8A6B-28432ED212AE}"/>
            </c:ext>
          </c:extLst>
        </c:ser>
        <c:ser>
          <c:idx val="1"/>
          <c:order val="1"/>
          <c:tx>
            <c:strRef>
              <c:f>'July 7, 2021'!$C$2:$C$3</c:f>
              <c:strCache>
                <c:ptCount val="2"/>
                <c:pt idx="0">
                  <c:v>Total ICU</c:v>
                </c:pt>
                <c:pt idx="1">
                  <c:v>345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295-41C9-8A6B-28432ED212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7,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7, 2021'!$C$4:$C$16</c:f>
              <c:numCache>
                <c:formatCode>General</c:formatCode>
                <c:ptCount val="13"/>
                <c:pt idx="0">
                  <c:v>22</c:v>
                </c:pt>
                <c:pt idx="1">
                  <c:v>32</c:v>
                </c:pt>
                <c:pt idx="2">
                  <c:v>220</c:v>
                </c:pt>
                <c:pt idx="3">
                  <c:v>25</c:v>
                </c:pt>
                <c:pt idx="4">
                  <c:v>0</c:v>
                </c:pt>
                <c:pt idx="5">
                  <c:v>0</c:v>
                </c:pt>
                <c:pt idx="6">
                  <c:v>36</c:v>
                </c:pt>
                <c:pt idx="7">
                  <c:v>0</c:v>
                </c:pt>
                <c:pt idx="8">
                  <c:v>10</c:v>
                </c:pt>
                <c:pt idx="9">
                  <c:v>0</c:v>
                </c:pt>
                <c:pt idx="10">
                  <c:v>0</c:v>
                </c:pt>
                <c:pt idx="11">
                  <c:v>0</c:v>
                </c:pt>
                <c:pt idx="12">
                  <c:v>0</c:v>
                </c:pt>
              </c:numCache>
            </c:numRef>
          </c:val>
          <c:extLst>
            <c:ext xmlns:c16="http://schemas.microsoft.com/office/drawing/2014/chart" uri="{C3380CC4-5D6E-409C-BE32-E72D297353CC}">
              <c16:uniqueId val="{00000002-C295-41C9-8A6B-28432ED212AE}"/>
            </c:ext>
          </c:extLst>
        </c:ser>
        <c:dLbls>
          <c:dLblPos val="outEnd"/>
          <c:showLegendKey val="0"/>
          <c:showVal val="1"/>
          <c:showCatName val="0"/>
          <c:showSerName val="0"/>
          <c:showPercent val="0"/>
          <c:showBubbleSize val="0"/>
        </c:dLbls>
        <c:gapWidth val="100"/>
        <c:overlap val="-24"/>
        <c:axId val="451715768"/>
        <c:axId val="451732624"/>
      </c:barChart>
      <c:catAx>
        <c:axId val="4517157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32624"/>
        <c:crosses val="autoZero"/>
        <c:auto val="1"/>
        <c:lblAlgn val="ctr"/>
        <c:lblOffset val="100"/>
        <c:noMultiLvlLbl val="0"/>
      </c:catAx>
      <c:valAx>
        <c:axId val="45173262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15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2021-07-05</a:t>
            </a:r>
          </a:p>
        </c:rich>
      </c:tx>
      <c:layout>
        <c:manualLayout>
          <c:xMode val="edge"/>
          <c:yMode val="edge"/>
          <c:x val="0.12829946229739789"/>
          <c:y val="2.3609096959279263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'July 5, 2021'!$B$2:$B$3</c:f>
              <c:strCache>
                <c:ptCount val="2"/>
                <c:pt idx="0">
                  <c:v>Total Hospital</c:v>
                </c:pt>
                <c:pt idx="1">
                  <c:v>709</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5,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5, 2021'!$B$4:$B$16</c:f>
              <c:numCache>
                <c:formatCode>General</c:formatCode>
                <c:ptCount val="13"/>
                <c:pt idx="0">
                  <c:v>99</c:v>
                </c:pt>
                <c:pt idx="1">
                  <c:v>144</c:v>
                </c:pt>
                <c:pt idx="2" formatCode="0">
                  <c:v>155</c:v>
                </c:pt>
                <c:pt idx="3" formatCode="#,##0">
                  <c:v>102</c:v>
                </c:pt>
                <c:pt idx="4">
                  <c:v>2</c:v>
                </c:pt>
                <c:pt idx="5">
                  <c:v>4</c:v>
                </c:pt>
                <c:pt idx="6">
                  <c:v>150</c:v>
                </c:pt>
                <c:pt idx="7">
                  <c:v>0</c:v>
                </c:pt>
                <c:pt idx="8">
                  <c:v>53</c:v>
                </c:pt>
                <c:pt idx="9">
                  <c:v>0</c:v>
                </c:pt>
                <c:pt idx="10">
                  <c:v>0</c:v>
                </c:pt>
                <c:pt idx="11">
                  <c:v>0</c:v>
                </c:pt>
                <c:pt idx="12">
                  <c:v>0</c:v>
                </c:pt>
              </c:numCache>
            </c:numRef>
          </c:val>
          <c:extLst>
            <c:ext xmlns:c16="http://schemas.microsoft.com/office/drawing/2014/chart" uri="{C3380CC4-5D6E-409C-BE32-E72D297353CC}">
              <c16:uniqueId val="{00000000-97C8-445F-8E03-AF5E22F5DA8F}"/>
            </c:ext>
          </c:extLst>
        </c:ser>
        <c:ser>
          <c:idx val="1"/>
          <c:order val="1"/>
          <c:tx>
            <c:strRef>
              <c:f>'July 5, 2021'!$C$2:$C$3</c:f>
              <c:strCache>
                <c:ptCount val="2"/>
                <c:pt idx="0">
                  <c:v>Total ICU</c:v>
                </c:pt>
                <c:pt idx="1">
                  <c:v>368</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7C8-445F-8E03-AF5E22F5DA8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5,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5, 2021'!$C$4:$C$16</c:f>
              <c:numCache>
                <c:formatCode>General</c:formatCode>
                <c:ptCount val="13"/>
                <c:pt idx="0">
                  <c:v>30</c:v>
                </c:pt>
                <c:pt idx="1">
                  <c:v>33</c:v>
                </c:pt>
                <c:pt idx="2">
                  <c:v>228</c:v>
                </c:pt>
                <c:pt idx="3">
                  <c:v>27</c:v>
                </c:pt>
                <c:pt idx="4">
                  <c:v>0</c:v>
                </c:pt>
                <c:pt idx="5">
                  <c:v>0</c:v>
                </c:pt>
                <c:pt idx="6">
                  <c:v>40</c:v>
                </c:pt>
                <c:pt idx="7">
                  <c:v>0</c:v>
                </c:pt>
                <c:pt idx="8">
                  <c:v>10</c:v>
                </c:pt>
                <c:pt idx="9">
                  <c:v>0</c:v>
                </c:pt>
                <c:pt idx="10">
                  <c:v>0</c:v>
                </c:pt>
                <c:pt idx="11">
                  <c:v>0</c:v>
                </c:pt>
                <c:pt idx="12">
                  <c:v>0</c:v>
                </c:pt>
              </c:numCache>
            </c:numRef>
          </c:val>
          <c:extLst>
            <c:ext xmlns:c16="http://schemas.microsoft.com/office/drawing/2014/chart" uri="{C3380CC4-5D6E-409C-BE32-E72D297353CC}">
              <c16:uniqueId val="{00000002-97C8-445F-8E03-AF5E22F5DA8F}"/>
            </c:ext>
          </c:extLst>
        </c:ser>
        <c:dLbls>
          <c:dLblPos val="outEnd"/>
          <c:showLegendKey val="0"/>
          <c:showVal val="1"/>
          <c:showCatName val="0"/>
          <c:showSerName val="0"/>
          <c:showPercent val="0"/>
          <c:showBubbleSize val="0"/>
        </c:dLbls>
        <c:gapWidth val="100"/>
        <c:overlap val="-24"/>
        <c:axId val="451727528"/>
        <c:axId val="451734976"/>
      </c:barChart>
      <c:catAx>
        <c:axId val="45172752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34976"/>
        <c:crosses val="autoZero"/>
        <c:auto val="1"/>
        <c:lblAlgn val="ctr"/>
        <c:lblOffset val="100"/>
        <c:noMultiLvlLbl val="0"/>
      </c:catAx>
      <c:valAx>
        <c:axId val="45173497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27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2021-06-30</a:t>
            </a:r>
          </a:p>
        </c:rich>
      </c:tx>
      <c:layout>
        <c:manualLayout>
          <c:xMode val="edge"/>
          <c:yMode val="edge"/>
          <c:x val="0.12829946229739789"/>
          <c:y val="2.3609096959279263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'June 30, 2021'!$B$2:$B$3</c:f>
              <c:strCache>
                <c:ptCount val="2"/>
                <c:pt idx="0">
                  <c:v>Total Hospital</c:v>
                </c:pt>
                <c:pt idx="1">
                  <c:v>886</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30,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30, 2021'!$B$4:$B$16</c:f>
              <c:numCache>
                <c:formatCode>General</c:formatCode>
                <c:ptCount val="13"/>
                <c:pt idx="0">
                  <c:v>110</c:v>
                </c:pt>
                <c:pt idx="1">
                  <c:v>170</c:v>
                </c:pt>
                <c:pt idx="2" formatCode="0">
                  <c:v>251</c:v>
                </c:pt>
                <c:pt idx="3" formatCode="#,##0">
                  <c:v>117</c:v>
                </c:pt>
                <c:pt idx="4">
                  <c:v>2</c:v>
                </c:pt>
                <c:pt idx="5">
                  <c:v>4</c:v>
                </c:pt>
                <c:pt idx="6">
                  <c:v>171</c:v>
                </c:pt>
                <c:pt idx="7">
                  <c:v>0</c:v>
                </c:pt>
                <c:pt idx="8">
                  <c:v>60</c:v>
                </c:pt>
                <c:pt idx="9">
                  <c:v>1</c:v>
                </c:pt>
                <c:pt idx="10">
                  <c:v>0</c:v>
                </c:pt>
                <c:pt idx="11">
                  <c:v>0</c:v>
                </c:pt>
                <c:pt idx="12">
                  <c:v>0</c:v>
                </c:pt>
              </c:numCache>
            </c:numRef>
          </c:val>
          <c:extLst>
            <c:ext xmlns:c16="http://schemas.microsoft.com/office/drawing/2014/chart" uri="{C3380CC4-5D6E-409C-BE32-E72D297353CC}">
              <c16:uniqueId val="{00000000-0B3D-4067-9FB0-FB2E75C7CF55}"/>
            </c:ext>
          </c:extLst>
        </c:ser>
        <c:ser>
          <c:idx val="1"/>
          <c:order val="1"/>
          <c:tx>
            <c:strRef>
              <c:f>'June 30, 2021'!$C$2:$C$3</c:f>
              <c:strCache>
                <c:ptCount val="2"/>
                <c:pt idx="0">
                  <c:v>Total ICU</c:v>
                </c:pt>
                <c:pt idx="1">
                  <c:v>437</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B3D-4067-9FB0-FB2E75C7CF5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30,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30, 2021'!$C$4:$C$16</c:f>
              <c:numCache>
                <c:formatCode>General</c:formatCode>
                <c:ptCount val="13"/>
                <c:pt idx="0">
                  <c:v>34</c:v>
                </c:pt>
                <c:pt idx="1">
                  <c:v>36</c:v>
                </c:pt>
                <c:pt idx="2">
                  <c:v>271</c:v>
                </c:pt>
                <c:pt idx="3">
                  <c:v>35</c:v>
                </c:pt>
                <c:pt idx="4">
                  <c:v>0</c:v>
                </c:pt>
                <c:pt idx="5">
                  <c:v>0</c:v>
                </c:pt>
                <c:pt idx="6">
                  <c:v>49</c:v>
                </c:pt>
                <c:pt idx="7">
                  <c:v>0</c:v>
                </c:pt>
                <c:pt idx="8">
                  <c:v>12</c:v>
                </c:pt>
                <c:pt idx="9">
                  <c:v>0</c:v>
                </c:pt>
                <c:pt idx="10">
                  <c:v>0</c:v>
                </c:pt>
                <c:pt idx="11">
                  <c:v>0</c:v>
                </c:pt>
                <c:pt idx="12">
                  <c:v>0</c:v>
                </c:pt>
              </c:numCache>
            </c:numRef>
          </c:val>
          <c:extLst>
            <c:ext xmlns:c16="http://schemas.microsoft.com/office/drawing/2014/chart" uri="{C3380CC4-5D6E-409C-BE32-E72D297353CC}">
              <c16:uniqueId val="{00000002-0B3D-4067-9FB0-FB2E75C7CF55}"/>
            </c:ext>
          </c:extLst>
        </c:ser>
        <c:dLbls>
          <c:dLblPos val="outEnd"/>
          <c:showLegendKey val="0"/>
          <c:showVal val="1"/>
          <c:showCatName val="0"/>
          <c:showSerName val="0"/>
          <c:showPercent val="0"/>
          <c:showBubbleSize val="0"/>
        </c:dLbls>
        <c:gapWidth val="100"/>
        <c:overlap val="-24"/>
        <c:axId val="451727920"/>
        <c:axId val="451730664"/>
      </c:barChart>
      <c:catAx>
        <c:axId val="45172792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30664"/>
        <c:crosses val="autoZero"/>
        <c:auto val="1"/>
        <c:lblAlgn val="ctr"/>
        <c:lblOffset val="100"/>
        <c:noMultiLvlLbl val="0"/>
      </c:catAx>
      <c:valAx>
        <c:axId val="45173066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279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2022-06-02</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'June 2, 2022'!$B$2:$B$3</c:f>
              <c:strCache>
                <c:ptCount val="2"/>
                <c:pt idx="0">
                  <c:v>Total Hospital</c:v>
                </c:pt>
                <c:pt idx="1">
                  <c:v>3672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2,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2, 2022'!$B$4:$B$16</c:f>
              <c:numCache>
                <c:formatCode>General</c:formatCode>
                <c:ptCount val="13"/>
                <c:pt idx="0">
                  <c:v>473</c:v>
                </c:pt>
                <c:pt idx="1">
                  <c:v>931</c:v>
                </c:pt>
                <c:pt idx="2" formatCode="0">
                  <c:v>670</c:v>
                </c:pt>
                <c:pt idx="3" formatCode="#,##0">
                  <c:v>1139</c:v>
                </c:pt>
                <c:pt idx="4">
                  <c:v>41</c:v>
                </c:pt>
                <c:pt idx="5">
                  <c:v>25</c:v>
                </c:pt>
                <c:pt idx="6">
                  <c:v>120</c:v>
                </c:pt>
                <c:pt idx="7">
                  <c:v>7</c:v>
                </c:pt>
                <c:pt idx="8">
                  <c:v>258</c:v>
                </c:pt>
                <c:pt idx="9">
                  <c:v>5</c:v>
                </c:pt>
                <c:pt idx="10">
                  <c:v>0</c:v>
                </c:pt>
                <c:pt idx="11">
                  <c:v>3</c:v>
                </c:pt>
                <c:pt idx="12">
                  <c:v>0</c:v>
                </c:pt>
              </c:numCache>
            </c:numRef>
          </c:val>
          <c:extLst>
            <c:ext xmlns:c16="http://schemas.microsoft.com/office/drawing/2014/chart" uri="{C3380CC4-5D6E-409C-BE32-E72D297353CC}">
              <c16:uniqueId val="{00000000-6E47-454D-B7FF-1FBF13E2383B}"/>
            </c:ext>
          </c:extLst>
        </c:ser>
        <c:ser>
          <c:idx val="1"/>
          <c:order val="1"/>
          <c:tx>
            <c:strRef>
              <c:f>'June 2, 2022'!$C$2:$C$3</c:f>
              <c:strCache>
                <c:ptCount val="2"/>
                <c:pt idx="0">
                  <c:v>Total ICU</c:v>
                </c:pt>
                <c:pt idx="1">
                  <c:v>252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E47-454D-B7FF-1FBF13E2383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2,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2, 2022'!$C$4:$C$16</c:f>
              <c:numCache>
                <c:formatCode>General</c:formatCode>
                <c:ptCount val="13"/>
                <c:pt idx="0">
                  <c:v>42</c:v>
                </c:pt>
                <c:pt idx="1">
                  <c:v>29</c:v>
                </c:pt>
                <c:pt idx="2">
                  <c:v>119</c:v>
                </c:pt>
                <c:pt idx="3">
                  <c:v>31</c:v>
                </c:pt>
                <c:pt idx="4">
                  <c:v>8</c:v>
                </c:pt>
                <c:pt idx="5">
                  <c:v>2</c:v>
                </c:pt>
                <c:pt idx="6">
                  <c:v>9</c:v>
                </c:pt>
                <c:pt idx="7">
                  <c:v>0</c:v>
                </c:pt>
                <c:pt idx="8">
                  <c:v>10</c:v>
                </c:pt>
                <c:pt idx="9">
                  <c:v>2</c:v>
                </c:pt>
                <c:pt idx="10">
                  <c:v>0</c:v>
                </c:pt>
                <c:pt idx="11">
                  <c:v>0</c:v>
                </c:pt>
                <c:pt idx="12">
                  <c:v>0</c:v>
                </c:pt>
              </c:numCache>
            </c:numRef>
          </c:val>
          <c:extLst>
            <c:ext xmlns:c16="http://schemas.microsoft.com/office/drawing/2014/chart" uri="{C3380CC4-5D6E-409C-BE32-E72D297353CC}">
              <c16:uniqueId val="{00000002-6E47-454D-B7FF-1FBF13E2383B}"/>
            </c:ext>
          </c:extLst>
        </c:ser>
        <c:dLbls>
          <c:dLblPos val="outEnd"/>
          <c:showLegendKey val="0"/>
          <c:showVal val="1"/>
          <c:showCatName val="0"/>
          <c:showSerName val="0"/>
          <c:showPercent val="0"/>
          <c:showBubbleSize val="0"/>
        </c:dLbls>
        <c:gapWidth val="100"/>
        <c:overlap val="-24"/>
        <c:axId val="528188568"/>
        <c:axId val="528192880"/>
      </c:barChart>
      <c:catAx>
        <c:axId val="5281885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92880"/>
        <c:crosses val="autoZero"/>
        <c:auto val="1"/>
        <c:lblAlgn val="ctr"/>
        <c:lblOffset val="100"/>
        <c:noMultiLvlLbl val="0"/>
      </c:catAx>
      <c:valAx>
        <c:axId val="5281928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88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2021-06-28</a:t>
            </a:r>
          </a:p>
        </c:rich>
      </c:tx>
      <c:layout>
        <c:manualLayout>
          <c:xMode val="edge"/>
          <c:yMode val="edge"/>
          <c:x val="0.12829946229739789"/>
          <c:y val="2.3609096959279263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'June 28, 2021'!$B$2:$B$3</c:f>
              <c:strCache>
                <c:ptCount val="2"/>
                <c:pt idx="0">
                  <c:v>Total Hospital</c:v>
                </c:pt>
                <c:pt idx="1">
                  <c:v>897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28,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28, 2021'!$B$4:$B$16</c:f>
              <c:numCache>
                <c:formatCode>General</c:formatCode>
                <c:ptCount val="13"/>
                <c:pt idx="0">
                  <c:v>108</c:v>
                </c:pt>
                <c:pt idx="1">
                  <c:v>190</c:v>
                </c:pt>
                <c:pt idx="2" formatCode="0">
                  <c:v>218</c:v>
                </c:pt>
                <c:pt idx="3" formatCode="#,##0">
                  <c:v>124</c:v>
                </c:pt>
                <c:pt idx="4">
                  <c:v>2</c:v>
                </c:pt>
                <c:pt idx="5">
                  <c:v>4</c:v>
                </c:pt>
                <c:pt idx="6">
                  <c:v>183</c:v>
                </c:pt>
                <c:pt idx="7">
                  <c:v>0</c:v>
                </c:pt>
                <c:pt idx="8">
                  <c:v>67</c:v>
                </c:pt>
                <c:pt idx="9">
                  <c:v>1</c:v>
                </c:pt>
                <c:pt idx="10">
                  <c:v>0</c:v>
                </c:pt>
                <c:pt idx="11">
                  <c:v>0</c:v>
                </c:pt>
                <c:pt idx="12">
                  <c:v>0</c:v>
                </c:pt>
              </c:numCache>
            </c:numRef>
          </c:val>
          <c:extLst>
            <c:ext xmlns:c16="http://schemas.microsoft.com/office/drawing/2014/chart" uri="{C3380CC4-5D6E-409C-BE32-E72D297353CC}">
              <c16:uniqueId val="{00000000-475E-429C-B451-08DF32068FF3}"/>
            </c:ext>
          </c:extLst>
        </c:ser>
        <c:ser>
          <c:idx val="1"/>
          <c:order val="1"/>
          <c:tx>
            <c:strRef>
              <c:f>'June 28, 2021'!$C$2:$C$3</c:f>
              <c:strCache>
                <c:ptCount val="2"/>
                <c:pt idx="0">
                  <c:v>Total ICU</c:v>
                </c:pt>
                <c:pt idx="1">
                  <c:v>466</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75E-429C-B451-08DF32068FF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28,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28, 2021'!$C$4:$C$16</c:f>
              <c:numCache>
                <c:formatCode>General</c:formatCode>
                <c:ptCount val="13"/>
                <c:pt idx="0">
                  <c:v>37</c:v>
                </c:pt>
                <c:pt idx="1">
                  <c:v>50</c:v>
                </c:pt>
                <c:pt idx="2">
                  <c:v>287</c:v>
                </c:pt>
                <c:pt idx="3">
                  <c:v>31</c:v>
                </c:pt>
                <c:pt idx="4">
                  <c:v>0</c:v>
                </c:pt>
                <c:pt idx="5">
                  <c:v>1</c:v>
                </c:pt>
                <c:pt idx="6">
                  <c:v>50</c:v>
                </c:pt>
                <c:pt idx="7">
                  <c:v>0</c:v>
                </c:pt>
                <c:pt idx="8">
                  <c:v>10</c:v>
                </c:pt>
                <c:pt idx="9">
                  <c:v>0</c:v>
                </c:pt>
                <c:pt idx="10">
                  <c:v>0</c:v>
                </c:pt>
                <c:pt idx="11">
                  <c:v>0</c:v>
                </c:pt>
                <c:pt idx="12">
                  <c:v>0</c:v>
                </c:pt>
              </c:numCache>
            </c:numRef>
          </c:val>
          <c:extLst>
            <c:ext xmlns:c16="http://schemas.microsoft.com/office/drawing/2014/chart" uri="{C3380CC4-5D6E-409C-BE32-E72D297353CC}">
              <c16:uniqueId val="{00000002-475E-429C-B451-08DF32068FF3}"/>
            </c:ext>
          </c:extLst>
        </c:ser>
        <c:dLbls>
          <c:dLblPos val="outEnd"/>
          <c:showLegendKey val="0"/>
          <c:showVal val="1"/>
          <c:showCatName val="0"/>
          <c:showSerName val="0"/>
          <c:showPercent val="0"/>
          <c:showBubbleSize val="0"/>
        </c:dLbls>
        <c:gapWidth val="100"/>
        <c:overlap val="-24"/>
        <c:axId val="451724784"/>
        <c:axId val="451728312"/>
      </c:barChart>
      <c:catAx>
        <c:axId val="45172478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28312"/>
        <c:crosses val="autoZero"/>
        <c:auto val="1"/>
        <c:lblAlgn val="ctr"/>
        <c:lblOffset val="100"/>
        <c:noMultiLvlLbl val="0"/>
      </c:catAx>
      <c:valAx>
        <c:axId val="45172831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24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2021-06-25</a:t>
            </a:r>
          </a:p>
        </c:rich>
      </c:tx>
      <c:layout>
        <c:manualLayout>
          <c:xMode val="edge"/>
          <c:yMode val="edge"/>
          <c:x val="0.12829946229739789"/>
          <c:y val="2.3609096959279263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'June 25, 2021'!$B$2:$B$3</c:f>
              <c:strCache>
                <c:ptCount val="2"/>
                <c:pt idx="0">
                  <c:v>Total Hospital</c:v>
                </c:pt>
                <c:pt idx="1">
                  <c:v>992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25,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25, 2021'!$B$4:$B$16</c:f>
              <c:numCache>
                <c:formatCode>General</c:formatCode>
                <c:ptCount val="13"/>
                <c:pt idx="0">
                  <c:v>113</c:v>
                </c:pt>
                <c:pt idx="1">
                  <c:v>190</c:v>
                </c:pt>
                <c:pt idx="2" formatCode="0">
                  <c:v>275</c:v>
                </c:pt>
                <c:pt idx="3" formatCode="#,##0">
                  <c:v>143</c:v>
                </c:pt>
                <c:pt idx="4">
                  <c:v>2</c:v>
                </c:pt>
                <c:pt idx="5">
                  <c:v>6</c:v>
                </c:pt>
                <c:pt idx="6">
                  <c:v>200</c:v>
                </c:pt>
                <c:pt idx="7">
                  <c:v>0</c:v>
                </c:pt>
                <c:pt idx="8">
                  <c:v>62</c:v>
                </c:pt>
                <c:pt idx="9">
                  <c:v>1</c:v>
                </c:pt>
                <c:pt idx="10">
                  <c:v>0</c:v>
                </c:pt>
                <c:pt idx="11">
                  <c:v>0</c:v>
                </c:pt>
                <c:pt idx="12">
                  <c:v>0</c:v>
                </c:pt>
              </c:numCache>
            </c:numRef>
          </c:val>
          <c:extLst>
            <c:ext xmlns:c16="http://schemas.microsoft.com/office/drawing/2014/chart" uri="{C3380CC4-5D6E-409C-BE32-E72D297353CC}">
              <c16:uniqueId val="{00000000-9822-4D0B-B95C-A2C8159ED498}"/>
            </c:ext>
          </c:extLst>
        </c:ser>
        <c:ser>
          <c:idx val="1"/>
          <c:order val="1"/>
          <c:tx>
            <c:strRef>
              <c:f>'June 25, 2021'!$C$2:$C$3</c:f>
              <c:strCache>
                <c:ptCount val="2"/>
                <c:pt idx="0">
                  <c:v>Total ICU</c:v>
                </c:pt>
                <c:pt idx="1">
                  <c:v>475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822-4D0B-B95C-A2C8159ED49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25,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25, 2021'!$C$4:$C$16</c:f>
              <c:numCache>
                <c:formatCode>General</c:formatCode>
                <c:ptCount val="13"/>
                <c:pt idx="0">
                  <c:v>34</c:v>
                </c:pt>
                <c:pt idx="1">
                  <c:v>50</c:v>
                </c:pt>
                <c:pt idx="2">
                  <c:v>284</c:v>
                </c:pt>
                <c:pt idx="3">
                  <c:v>38</c:v>
                </c:pt>
                <c:pt idx="4">
                  <c:v>1</c:v>
                </c:pt>
                <c:pt idx="5">
                  <c:v>2</c:v>
                </c:pt>
                <c:pt idx="6">
                  <c:v>52</c:v>
                </c:pt>
                <c:pt idx="7">
                  <c:v>0</c:v>
                </c:pt>
                <c:pt idx="8">
                  <c:v>14</c:v>
                </c:pt>
                <c:pt idx="9">
                  <c:v>0</c:v>
                </c:pt>
                <c:pt idx="10">
                  <c:v>0</c:v>
                </c:pt>
                <c:pt idx="11">
                  <c:v>0</c:v>
                </c:pt>
                <c:pt idx="12">
                  <c:v>0</c:v>
                </c:pt>
              </c:numCache>
            </c:numRef>
          </c:val>
          <c:extLst>
            <c:ext xmlns:c16="http://schemas.microsoft.com/office/drawing/2014/chart" uri="{C3380CC4-5D6E-409C-BE32-E72D297353CC}">
              <c16:uniqueId val="{00000002-9822-4D0B-B95C-A2C8159ED498}"/>
            </c:ext>
          </c:extLst>
        </c:ser>
        <c:dLbls>
          <c:dLblPos val="outEnd"/>
          <c:showLegendKey val="0"/>
          <c:showVal val="1"/>
          <c:showCatName val="0"/>
          <c:showSerName val="0"/>
          <c:showPercent val="0"/>
          <c:showBubbleSize val="0"/>
        </c:dLbls>
        <c:gapWidth val="100"/>
        <c:overlap val="-24"/>
        <c:axId val="451735760"/>
        <c:axId val="451734584"/>
      </c:barChart>
      <c:catAx>
        <c:axId val="45173576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34584"/>
        <c:crosses val="autoZero"/>
        <c:auto val="1"/>
        <c:lblAlgn val="ctr"/>
        <c:lblOffset val="100"/>
        <c:noMultiLvlLbl val="0"/>
      </c:catAx>
      <c:valAx>
        <c:axId val="45173458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35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2021-06-23</a:t>
            </a:r>
          </a:p>
        </c:rich>
      </c:tx>
      <c:layout>
        <c:manualLayout>
          <c:xMode val="edge"/>
          <c:yMode val="edge"/>
          <c:x val="0.12829946229739789"/>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'June 23, 2021'!$B$2:$B$3</c:f>
              <c:strCache>
                <c:ptCount val="2"/>
                <c:pt idx="0">
                  <c:v>Total Hospital</c:v>
                </c:pt>
                <c:pt idx="1">
                  <c:v>1046</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23,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23, 2021'!$B$4:$B$16</c:f>
              <c:numCache>
                <c:formatCode>General</c:formatCode>
                <c:ptCount val="13"/>
                <c:pt idx="0">
                  <c:v>111</c:v>
                </c:pt>
                <c:pt idx="1">
                  <c:v>200</c:v>
                </c:pt>
                <c:pt idx="2" formatCode="0">
                  <c:v>295</c:v>
                </c:pt>
                <c:pt idx="3" formatCode="#,##0">
                  <c:v>161</c:v>
                </c:pt>
                <c:pt idx="4">
                  <c:v>2</c:v>
                </c:pt>
                <c:pt idx="5">
                  <c:v>5</c:v>
                </c:pt>
                <c:pt idx="6">
                  <c:v>209</c:v>
                </c:pt>
                <c:pt idx="7">
                  <c:v>0</c:v>
                </c:pt>
                <c:pt idx="8">
                  <c:v>63</c:v>
                </c:pt>
                <c:pt idx="9">
                  <c:v>0</c:v>
                </c:pt>
                <c:pt idx="10">
                  <c:v>0</c:v>
                </c:pt>
                <c:pt idx="11">
                  <c:v>0</c:v>
                </c:pt>
                <c:pt idx="12">
                  <c:v>0</c:v>
                </c:pt>
              </c:numCache>
            </c:numRef>
          </c:val>
          <c:extLst>
            <c:ext xmlns:c16="http://schemas.microsoft.com/office/drawing/2014/chart" uri="{C3380CC4-5D6E-409C-BE32-E72D297353CC}">
              <c16:uniqueId val="{00000000-574A-4BEE-8676-F8B9CB896E42}"/>
            </c:ext>
          </c:extLst>
        </c:ser>
        <c:ser>
          <c:idx val="1"/>
          <c:order val="1"/>
          <c:tx>
            <c:strRef>
              <c:f>'June 23, 2021'!$C$2:$C$3</c:f>
              <c:strCache>
                <c:ptCount val="2"/>
                <c:pt idx="0">
                  <c:v>Total ICU</c:v>
                </c:pt>
                <c:pt idx="1">
                  <c:v>512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74A-4BEE-8676-F8B9CB896E4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23,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23, 2021'!$C$4:$C$16</c:f>
              <c:numCache>
                <c:formatCode>General</c:formatCode>
                <c:ptCount val="13"/>
                <c:pt idx="0">
                  <c:v>41</c:v>
                </c:pt>
                <c:pt idx="1">
                  <c:v>54</c:v>
                </c:pt>
                <c:pt idx="2">
                  <c:v>305</c:v>
                </c:pt>
                <c:pt idx="3">
                  <c:v>40</c:v>
                </c:pt>
                <c:pt idx="4">
                  <c:v>1</c:v>
                </c:pt>
                <c:pt idx="5">
                  <c:v>2</c:v>
                </c:pt>
                <c:pt idx="6">
                  <c:v>57</c:v>
                </c:pt>
                <c:pt idx="7">
                  <c:v>0</c:v>
                </c:pt>
                <c:pt idx="8">
                  <c:v>12</c:v>
                </c:pt>
                <c:pt idx="9">
                  <c:v>0</c:v>
                </c:pt>
                <c:pt idx="10">
                  <c:v>0</c:v>
                </c:pt>
                <c:pt idx="11">
                  <c:v>0</c:v>
                </c:pt>
                <c:pt idx="12">
                  <c:v>0</c:v>
                </c:pt>
              </c:numCache>
            </c:numRef>
          </c:val>
          <c:extLst>
            <c:ext xmlns:c16="http://schemas.microsoft.com/office/drawing/2014/chart" uri="{C3380CC4-5D6E-409C-BE32-E72D297353CC}">
              <c16:uniqueId val="{00000002-574A-4BEE-8676-F8B9CB896E42}"/>
            </c:ext>
          </c:extLst>
        </c:ser>
        <c:dLbls>
          <c:dLblPos val="outEnd"/>
          <c:showLegendKey val="0"/>
          <c:showVal val="1"/>
          <c:showCatName val="0"/>
          <c:showSerName val="0"/>
          <c:showPercent val="0"/>
          <c:showBubbleSize val="0"/>
        </c:dLbls>
        <c:gapWidth val="100"/>
        <c:overlap val="-24"/>
        <c:axId val="451731056"/>
        <c:axId val="451733016"/>
      </c:barChart>
      <c:catAx>
        <c:axId val="45173105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33016"/>
        <c:crosses val="autoZero"/>
        <c:auto val="1"/>
        <c:lblAlgn val="ctr"/>
        <c:lblOffset val="100"/>
        <c:noMultiLvlLbl val="0"/>
      </c:catAx>
      <c:valAx>
        <c:axId val="45173301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31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2021-06-21</a:t>
            </a:r>
          </a:p>
        </c:rich>
      </c:tx>
      <c:layout>
        <c:manualLayout>
          <c:xMode val="edge"/>
          <c:yMode val="edge"/>
          <c:x val="0.12829946229739789"/>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'June 21, 2021'!$B$2:$B$3</c:f>
              <c:strCache>
                <c:ptCount val="2"/>
                <c:pt idx="0">
                  <c:v>Total Hospital</c:v>
                </c:pt>
                <c:pt idx="1">
                  <c:v>1096</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21,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21, 2021'!$B$4:$B$16</c:f>
              <c:numCache>
                <c:formatCode>General</c:formatCode>
                <c:ptCount val="13"/>
                <c:pt idx="0">
                  <c:v>128</c:v>
                </c:pt>
                <c:pt idx="1">
                  <c:v>214</c:v>
                </c:pt>
                <c:pt idx="2" formatCode="0">
                  <c:v>261</c:v>
                </c:pt>
                <c:pt idx="3" formatCode="#,##0">
                  <c:v>168</c:v>
                </c:pt>
                <c:pt idx="4">
                  <c:v>2</c:v>
                </c:pt>
                <c:pt idx="5">
                  <c:v>6</c:v>
                </c:pt>
                <c:pt idx="6">
                  <c:v>233</c:v>
                </c:pt>
                <c:pt idx="7">
                  <c:v>0</c:v>
                </c:pt>
                <c:pt idx="8">
                  <c:v>79</c:v>
                </c:pt>
                <c:pt idx="9">
                  <c:v>2</c:v>
                </c:pt>
                <c:pt idx="10">
                  <c:v>0</c:v>
                </c:pt>
                <c:pt idx="11">
                  <c:v>3</c:v>
                </c:pt>
                <c:pt idx="12">
                  <c:v>0</c:v>
                </c:pt>
              </c:numCache>
            </c:numRef>
          </c:val>
          <c:extLst>
            <c:ext xmlns:c16="http://schemas.microsoft.com/office/drawing/2014/chart" uri="{C3380CC4-5D6E-409C-BE32-E72D297353CC}">
              <c16:uniqueId val="{00000000-6200-4671-8193-0329BFE30EDA}"/>
            </c:ext>
          </c:extLst>
        </c:ser>
        <c:ser>
          <c:idx val="1"/>
          <c:order val="1"/>
          <c:tx>
            <c:strRef>
              <c:f>'June 21, 2021'!$C$2:$C$3</c:f>
              <c:strCache>
                <c:ptCount val="2"/>
                <c:pt idx="0">
                  <c:v>Total ICU</c:v>
                </c:pt>
                <c:pt idx="1">
                  <c:v>535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00-4671-8193-0329BFE30ED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21,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21, 2021'!$C$4:$C$16</c:f>
              <c:numCache>
                <c:formatCode>General</c:formatCode>
                <c:ptCount val="13"/>
                <c:pt idx="0">
                  <c:v>48</c:v>
                </c:pt>
                <c:pt idx="1">
                  <c:v>53</c:v>
                </c:pt>
                <c:pt idx="2">
                  <c:v>323</c:v>
                </c:pt>
                <c:pt idx="3">
                  <c:v>39</c:v>
                </c:pt>
                <c:pt idx="4">
                  <c:v>1</c:v>
                </c:pt>
                <c:pt idx="5">
                  <c:v>2</c:v>
                </c:pt>
                <c:pt idx="6">
                  <c:v>57</c:v>
                </c:pt>
                <c:pt idx="7">
                  <c:v>0</c:v>
                </c:pt>
                <c:pt idx="8">
                  <c:v>12</c:v>
                </c:pt>
                <c:pt idx="9">
                  <c:v>0</c:v>
                </c:pt>
                <c:pt idx="10">
                  <c:v>0</c:v>
                </c:pt>
                <c:pt idx="11">
                  <c:v>0</c:v>
                </c:pt>
                <c:pt idx="12">
                  <c:v>0</c:v>
                </c:pt>
              </c:numCache>
            </c:numRef>
          </c:val>
          <c:extLst>
            <c:ext xmlns:c16="http://schemas.microsoft.com/office/drawing/2014/chart" uri="{C3380CC4-5D6E-409C-BE32-E72D297353CC}">
              <c16:uniqueId val="{00000002-6200-4671-8193-0329BFE30EDA}"/>
            </c:ext>
          </c:extLst>
        </c:ser>
        <c:dLbls>
          <c:dLblPos val="outEnd"/>
          <c:showLegendKey val="0"/>
          <c:showVal val="1"/>
          <c:showCatName val="0"/>
          <c:showSerName val="0"/>
          <c:showPercent val="0"/>
          <c:showBubbleSize val="0"/>
        </c:dLbls>
        <c:gapWidth val="100"/>
        <c:overlap val="-24"/>
        <c:axId val="451733408"/>
        <c:axId val="451725176"/>
      </c:barChart>
      <c:catAx>
        <c:axId val="45173340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25176"/>
        <c:crosses val="autoZero"/>
        <c:auto val="1"/>
        <c:lblAlgn val="ctr"/>
        <c:lblOffset val="100"/>
        <c:noMultiLvlLbl val="0"/>
      </c:catAx>
      <c:valAx>
        <c:axId val="45172517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33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2021-06-18</a:t>
            </a:r>
          </a:p>
        </c:rich>
      </c:tx>
      <c:layout>
        <c:manualLayout>
          <c:xMode val="edge"/>
          <c:yMode val="edge"/>
          <c:x val="0.12829946229739789"/>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'June 18, 2021'!$B$2:$B$3</c:f>
              <c:strCache>
                <c:ptCount val="2"/>
                <c:pt idx="0">
                  <c:v>Total Hospital</c:v>
                </c:pt>
                <c:pt idx="1">
                  <c:v>1261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18,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18, 2021'!$B$4:$B$16</c:f>
              <c:numCache>
                <c:formatCode>General</c:formatCode>
                <c:ptCount val="13"/>
                <c:pt idx="0">
                  <c:v>131</c:v>
                </c:pt>
                <c:pt idx="1">
                  <c:v>242</c:v>
                </c:pt>
                <c:pt idx="2" formatCode="0">
                  <c:v>378</c:v>
                </c:pt>
                <c:pt idx="3" formatCode="#,##0">
                  <c:v>175</c:v>
                </c:pt>
                <c:pt idx="4">
                  <c:v>3</c:v>
                </c:pt>
                <c:pt idx="5">
                  <c:v>6</c:v>
                </c:pt>
                <c:pt idx="6">
                  <c:v>246</c:v>
                </c:pt>
                <c:pt idx="7">
                  <c:v>0</c:v>
                </c:pt>
                <c:pt idx="8">
                  <c:v>78</c:v>
                </c:pt>
                <c:pt idx="9">
                  <c:v>2</c:v>
                </c:pt>
                <c:pt idx="10">
                  <c:v>0</c:v>
                </c:pt>
                <c:pt idx="11">
                  <c:v>0</c:v>
                </c:pt>
                <c:pt idx="12">
                  <c:v>0</c:v>
                </c:pt>
              </c:numCache>
            </c:numRef>
          </c:val>
          <c:extLst>
            <c:ext xmlns:c16="http://schemas.microsoft.com/office/drawing/2014/chart" uri="{C3380CC4-5D6E-409C-BE32-E72D297353CC}">
              <c16:uniqueId val="{00000000-27FD-4AAA-9BE0-2B1269392C98}"/>
            </c:ext>
          </c:extLst>
        </c:ser>
        <c:ser>
          <c:idx val="1"/>
          <c:order val="1"/>
          <c:tx>
            <c:strRef>
              <c:f>'June 18, 2021'!$C$2:$C$3</c:f>
              <c:strCache>
                <c:ptCount val="2"/>
                <c:pt idx="0">
                  <c:v>Total ICU</c:v>
                </c:pt>
                <c:pt idx="1">
                  <c:v>567</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FD-4AAA-9BE0-2B1269392C9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18,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18, 2021'!$C$4:$C$16</c:f>
              <c:numCache>
                <c:formatCode>General</c:formatCode>
                <c:ptCount val="13"/>
                <c:pt idx="0">
                  <c:v>44</c:v>
                </c:pt>
                <c:pt idx="1">
                  <c:v>58</c:v>
                </c:pt>
                <c:pt idx="2">
                  <c:v>352</c:v>
                </c:pt>
                <c:pt idx="3">
                  <c:v>39</c:v>
                </c:pt>
                <c:pt idx="4">
                  <c:v>3</c:v>
                </c:pt>
                <c:pt idx="5">
                  <c:v>2</c:v>
                </c:pt>
                <c:pt idx="6">
                  <c:v>60</c:v>
                </c:pt>
                <c:pt idx="7">
                  <c:v>0</c:v>
                </c:pt>
                <c:pt idx="8">
                  <c:v>9</c:v>
                </c:pt>
                <c:pt idx="9">
                  <c:v>0</c:v>
                </c:pt>
                <c:pt idx="10">
                  <c:v>0</c:v>
                </c:pt>
                <c:pt idx="11">
                  <c:v>0</c:v>
                </c:pt>
                <c:pt idx="12">
                  <c:v>0</c:v>
                </c:pt>
              </c:numCache>
            </c:numRef>
          </c:val>
          <c:extLst>
            <c:ext xmlns:c16="http://schemas.microsoft.com/office/drawing/2014/chart" uri="{C3380CC4-5D6E-409C-BE32-E72D297353CC}">
              <c16:uniqueId val="{00000002-27FD-4AAA-9BE0-2B1269392C98}"/>
            </c:ext>
          </c:extLst>
        </c:ser>
        <c:dLbls>
          <c:dLblPos val="outEnd"/>
          <c:showLegendKey val="0"/>
          <c:showVal val="1"/>
          <c:showCatName val="0"/>
          <c:showSerName val="0"/>
          <c:showPercent val="0"/>
          <c:showBubbleSize val="0"/>
        </c:dLbls>
        <c:gapWidth val="100"/>
        <c:overlap val="-24"/>
        <c:axId val="451724000"/>
        <c:axId val="451723608"/>
      </c:barChart>
      <c:catAx>
        <c:axId val="45172400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23608"/>
        <c:crosses val="autoZero"/>
        <c:auto val="1"/>
        <c:lblAlgn val="ctr"/>
        <c:lblOffset val="100"/>
        <c:noMultiLvlLbl val="0"/>
      </c:catAx>
      <c:valAx>
        <c:axId val="45172360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24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2021-06-16</a:t>
            </a:r>
          </a:p>
        </c:rich>
      </c:tx>
      <c:layout>
        <c:manualLayout>
          <c:xMode val="edge"/>
          <c:yMode val="edge"/>
          <c:x val="0.12829946229739789"/>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'June 16, 2021'!$B$2:$B$3</c:f>
              <c:strCache>
                <c:ptCount val="2"/>
                <c:pt idx="0">
                  <c:v>Total Hospital</c:v>
                </c:pt>
                <c:pt idx="1">
                  <c:v>1416</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16,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16, 2021'!$B$4:$B$16</c:f>
              <c:numCache>
                <c:formatCode>General</c:formatCode>
                <c:ptCount val="13"/>
                <c:pt idx="0">
                  <c:v>139</c:v>
                </c:pt>
                <c:pt idx="1">
                  <c:v>271</c:v>
                </c:pt>
                <c:pt idx="2" formatCode="0">
                  <c:v>438</c:v>
                </c:pt>
                <c:pt idx="3" formatCode="#,##0">
                  <c:v>209</c:v>
                </c:pt>
                <c:pt idx="4">
                  <c:v>2</c:v>
                </c:pt>
                <c:pt idx="5">
                  <c:v>8</c:v>
                </c:pt>
                <c:pt idx="6">
                  <c:v>266</c:v>
                </c:pt>
                <c:pt idx="7">
                  <c:v>0</c:v>
                </c:pt>
                <c:pt idx="8">
                  <c:v>82</c:v>
                </c:pt>
                <c:pt idx="9">
                  <c:v>1</c:v>
                </c:pt>
                <c:pt idx="10">
                  <c:v>0</c:v>
                </c:pt>
                <c:pt idx="11">
                  <c:v>0</c:v>
                </c:pt>
                <c:pt idx="12">
                  <c:v>0</c:v>
                </c:pt>
              </c:numCache>
            </c:numRef>
          </c:val>
          <c:extLst>
            <c:ext xmlns:c16="http://schemas.microsoft.com/office/drawing/2014/chart" uri="{C3380CC4-5D6E-409C-BE32-E72D297353CC}">
              <c16:uniqueId val="{00000000-B643-49F0-AE00-51A336C0D78E}"/>
            </c:ext>
          </c:extLst>
        </c:ser>
        <c:ser>
          <c:idx val="1"/>
          <c:order val="1"/>
          <c:tx>
            <c:strRef>
              <c:f>'June 16, 2021'!$C$2:$C$3</c:f>
              <c:strCache>
                <c:ptCount val="2"/>
                <c:pt idx="0">
                  <c:v>Total ICU</c:v>
                </c:pt>
                <c:pt idx="1">
                  <c:v>619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643-49F0-AE00-51A336C0D78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16,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16, 2021'!$C$4:$C$16</c:f>
              <c:numCache>
                <c:formatCode>General</c:formatCode>
                <c:ptCount val="13"/>
                <c:pt idx="0">
                  <c:v>39</c:v>
                </c:pt>
                <c:pt idx="1">
                  <c:v>68</c:v>
                </c:pt>
                <c:pt idx="2">
                  <c:v>377</c:v>
                </c:pt>
                <c:pt idx="3">
                  <c:v>50</c:v>
                </c:pt>
                <c:pt idx="4">
                  <c:v>4</c:v>
                </c:pt>
                <c:pt idx="5">
                  <c:v>3</c:v>
                </c:pt>
                <c:pt idx="6">
                  <c:v>63</c:v>
                </c:pt>
                <c:pt idx="7">
                  <c:v>0</c:v>
                </c:pt>
                <c:pt idx="8">
                  <c:v>15</c:v>
                </c:pt>
                <c:pt idx="9">
                  <c:v>0</c:v>
                </c:pt>
                <c:pt idx="10">
                  <c:v>0</c:v>
                </c:pt>
                <c:pt idx="11">
                  <c:v>0</c:v>
                </c:pt>
                <c:pt idx="12">
                  <c:v>0</c:v>
                </c:pt>
              </c:numCache>
            </c:numRef>
          </c:val>
          <c:extLst>
            <c:ext xmlns:c16="http://schemas.microsoft.com/office/drawing/2014/chart" uri="{C3380CC4-5D6E-409C-BE32-E72D297353CC}">
              <c16:uniqueId val="{00000002-B643-49F0-AE00-51A336C0D78E}"/>
            </c:ext>
          </c:extLst>
        </c:ser>
        <c:dLbls>
          <c:dLblPos val="outEnd"/>
          <c:showLegendKey val="0"/>
          <c:showVal val="1"/>
          <c:showCatName val="0"/>
          <c:showSerName val="0"/>
          <c:showPercent val="0"/>
          <c:showBubbleSize val="0"/>
        </c:dLbls>
        <c:gapWidth val="100"/>
        <c:overlap val="-24"/>
        <c:axId val="451731448"/>
        <c:axId val="451724392"/>
      </c:barChart>
      <c:catAx>
        <c:axId val="45173144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24392"/>
        <c:crosses val="autoZero"/>
        <c:auto val="1"/>
        <c:lblAlgn val="ctr"/>
        <c:lblOffset val="100"/>
        <c:noMultiLvlLbl val="0"/>
      </c:catAx>
      <c:valAx>
        <c:axId val="45172439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31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2021-06-14</a:t>
            </a:r>
          </a:p>
        </c:rich>
      </c:tx>
      <c:layout>
        <c:manualLayout>
          <c:xMode val="edge"/>
          <c:yMode val="edge"/>
          <c:x val="0.12829946229739789"/>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'June 14, 2021'!$B$2:$B$3</c:f>
              <c:strCache>
                <c:ptCount val="2"/>
                <c:pt idx="0">
                  <c:v>Total Hospital</c:v>
                </c:pt>
                <c:pt idx="1">
                  <c:v>1387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14,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14, 2021'!$B$4:$B$16</c:f>
              <c:numCache>
                <c:formatCode>General</c:formatCode>
                <c:ptCount val="13"/>
                <c:pt idx="0">
                  <c:v>162</c:v>
                </c:pt>
                <c:pt idx="1">
                  <c:v>272</c:v>
                </c:pt>
                <c:pt idx="2" formatCode="0">
                  <c:v>384</c:v>
                </c:pt>
                <c:pt idx="3" formatCode="#,##0">
                  <c:v>214</c:v>
                </c:pt>
                <c:pt idx="4">
                  <c:v>2</c:v>
                </c:pt>
                <c:pt idx="5">
                  <c:v>7</c:v>
                </c:pt>
                <c:pt idx="6">
                  <c:v>271</c:v>
                </c:pt>
                <c:pt idx="7">
                  <c:v>0</c:v>
                </c:pt>
                <c:pt idx="8">
                  <c:v>75</c:v>
                </c:pt>
                <c:pt idx="9">
                  <c:v>0</c:v>
                </c:pt>
                <c:pt idx="10">
                  <c:v>0</c:v>
                </c:pt>
                <c:pt idx="11">
                  <c:v>0</c:v>
                </c:pt>
                <c:pt idx="12">
                  <c:v>0</c:v>
                </c:pt>
              </c:numCache>
            </c:numRef>
          </c:val>
          <c:extLst>
            <c:ext xmlns:c16="http://schemas.microsoft.com/office/drawing/2014/chart" uri="{C3380CC4-5D6E-409C-BE32-E72D297353CC}">
              <c16:uniqueId val="{00000000-AAD8-4EFE-A835-D2D1BA12B144}"/>
            </c:ext>
          </c:extLst>
        </c:ser>
        <c:ser>
          <c:idx val="1"/>
          <c:order val="1"/>
          <c:tx>
            <c:strRef>
              <c:f>'June 14, 2021'!$C$2:$C$3</c:f>
              <c:strCache>
                <c:ptCount val="2"/>
                <c:pt idx="0">
                  <c:v>Total ICU</c:v>
                </c:pt>
                <c:pt idx="1">
                  <c:v>670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AD8-4EFE-A835-D2D1BA12B14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14,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14, 2021'!$C$4:$C$16</c:f>
              <c:numCache>
                <c:formatCode>General</c:formatCode>
                <c:ptCount val="13"/>
                <c:pt idx="0">
                  <c:v>45</c:v>
                </c:pt>
                <c:pt idx="1">
                  <c:v>75</c:v>
                </c:pt>
                <c:pt idx="2">
                  <c:v>409</c:v>
                </c:pt>
                <c:pt idx="3">
                  <c:v>54</c:v>
                </c:pt>
                <c:pt idx="4">
                  <c:v>4</c:v>
                </c:pt>
                <c:pt idx="5">
                  <c:v>3</c:v>
                </c:pt>
                <c:pt idx="6">
                  <c:v>60</c:v>
                </c:pt>
                <c:pt idx="7">
                  <c:v>0</c:v>
                </c:pt>
                <c:pt idx="8">
                  <c:v>20</c:v>
                </c:pt>
                <c:pt idx="9">
                  <c:v>0</c:v>
                </c:pt>
                <c:pt idx="10">
                  <c:v>0</c:v>
                </c:pt>
                <c:pt idx="11">
                  <c:v>0</c:v>
                </c:pt>
                <c:pt idx="12">
                  <c:v>0</c:v>
                </c:pt>
              </c:numCache>
            </c:numRef>
          </c:val>
          <c:extLst>
            <c:ext xmlns:c16="http://schemas.microsoft.com/office/drawing/2014/chart" uri="{C3380CC4-5D6E-409C-BE32-E72D297353CC}">
              <c16:uniqueId val="{00000002-AAD8-4EFE-A835-D2D1BA12B144}"/>
            </c:ext>
          </c:extLst>
        </c:ser>
        <c:dLbls>
          <c:dLblPos val="outEnd"/>
          <c:showLegendKey val="0"/>
          <c:showVal val="1"/>
          <c:showCatName val="0"/>
          <c:showSerName val="0"/>
          <c:showPercent val="0"/>
          <c:showBubbleSize val="0"/>
        </c:dLbls>
        <c:gapWidth val="100"/>
        <c:overlap val="-24"/>
        <c:axId val="451732232"/>
        <c:axId val="451725568"/>
      </c:barChart>
      <c:catAx>
        <c:axId val="45173223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25568"/>
        <c:crosses val="autoZero"/>
        <c:auto val="1"/>
        <c:lblAlgn val="ctr"/>
        <c:lblOffset val="100"/>
        <c:noMultiLvlLbl val="0"/>
      </c:catAx>
      <c:valAx>
        <c:axId val="45172556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322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2021-06-11</a:t>
            </a:r>
          </a:p>
        </c:rich>
      </c:tx>
      <c:layout>
        <c:manualLayout>
          <c:xMode val="edge"/>
          <c:yMode val="edge"/>
          <c:x val="0.12829946229739789"/>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'June 11, 2021'!$B$2:$B$3</c:f>
              <c:strCache>
                <c:ptCount val="2"/>
                <c:pt idx="0">
                  <c:v>Total Hospital</c:v>
                </c:pt>
                <c:pt idx="1">
                  <c:v>1598</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11,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11, 2021'!$B$4:$B$16</c:f>
              <c:numCache>
                <c:formatCode>General</c:formatCode>
                <c:ptCount val="13"/>
                <c:pt idx="0">
                  <c:v>176</c:v>
                </c:pt>
                <c:pt idx="1">
                  <c:v>306</c:v>
                </c:pt>
                <c:pt idx="2" formatCode="0">
                  <c:v>489</c:v>
                </c:pt>
                <c:pt idx="3" formatCode="#,##0">
                  <c:v>251</c:v>
                </c:pt>
                <c:pt idx="4">
                  <c:v>4</c:v>
                </c:pt>
                <c:pt idx="5">
                  <c:v>4</c:v>
                </c:pt>
                <c:pt idx="6">
                  <c:v>286</c:v>
                </c:pt>
                <c:pt idx="7">
                  <c:v>0</c:v>
                </c:pt>
                <c:pt idx="8">
                  <c:v>82</c:v>
                </c:pt>
                <c:pt idx="9">
                  <c:v>0</c:v>
                </c:pt>
                <c:pt idx="10">
                  <c:v>0</c:v>
                </c:pt>
                <c:pt idx="11">
                  <c:v>0</c:v>
                </c:pt>
                <c:pt idx="12">
                  <c:v>0</c:v>
                </c:pt>
              </c:numCache>
            </c:numRef>
          </c:val>
          <c:extLst>
            <c:ext xmlns:c16="http://schemas.microsoft.com/office/drawing/2014/chart" uri="{C3380CC4-5D6E-409C-BE32-E72D297353CC}">
              <c16:uniqueId val="{00000000-79D0-4542-B4E9-FD13B3FB6879}"/>
            </c:ext>
          </c:extLst>
        </c:ser>
        <c:ser>
          <c:idx val="1"/>
          <c:order val="1"/>
          <c:tx>
            <c:strRef>
              <c:f>'June 11, 2021'!$C$2:$C$3</c:f>
              <c:strCache>
                <c:ptCount val="2"/>
                <c:pt idx="0">
                  <c:v>Total ICU</c:v>
                </c:pt>
                <c:pt idx="1">
                  <c:v>725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9D0-4542-B4E9-FD13B3FB687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11,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11, 2021'!$C$4:$C$16</c:f>
              <c:numCache>
                <c:formatCode>General</c:formatCode>
                <c:ptCount val="13"/>
                <c:pt idx="0">
                  <c:v>49</c:v>
                </c:pt>
                <c:pt idx="1">
                  <c:v>81</c:v>
                </c:pt>
                <c:pt idx="2">
                  <c:v>440</c:v>
                </c:pt>
                <c:pt idx="3">
                  <c:v>64</c:v>
                </c:pt>
                <c:pt idx="4">
                  <c:v>6</c:v>
                </c:pt>
                <c:pt idx="5">
                  <c:v>2</c:v>
                </c:pt>
                <c:pt idx="6">
                  <c:v>64</c:v>
                </c:pt>
                <c:pt idx="7">
                  <c:v>0</c:v>
                </c:pt>
                <c:pt idx="8">
                  <c:v>19</c:v>
                </c:pt>
                <c:pt idx="9">
                  <c:v>0</c:v>
                </c:pt>
                <c:pt idx="10">
                  <c:v>0</c:v>
                </c:pt>
                <c:pt idx="11">
                  <c:v>0</c:v>
                </c:pt>
                <c:pt idx="12">
                  <c:v>0</c:v>
                </c:pt>
              </c:numCache>
            </c:numRef>
          </c:val>
          <c:extLst>
            <c:ext xmlns:c16="http://schemas.microsoft.com/office/drawing/2014/chart" uri="{C3380CC4-5D6E-409C-BE32-E72D297353CC}">
              <c16:uniqueId val="{00000002-79D0-4542-B4E9-FD13B3FB6879}"/>
            </c:ext>
          </c:extLst>
        </c:ser>
        <c:dLbls>
          <c:dLblPos val="outEnd"/>
          <c:showLegendKey val="0"/>
          <c:showVal val="1"/>
          <c:showCatName val="0"/>
          <c:showSerName val="0"/>
          <c:showPercent val="0"/>
          <c:showBubbleSize val="0"/>
        </c:dLbls>
        <c:gapWidth val="100"/>
        <c:overlap val="-24"/>
        <c:axId val="451726352"/>
        <c:axId val="451726744"/>
      </c:barChart>
      <c:catAx>
        <c:axId val="45172635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26744"/>
        <c:crosses val="autoZero"/>
        <c:auto val="1"/>
        <c:lblAlgn val="ctr"/>
        <c:lblOffset val="100"/>
        <c:noMultiLvlLbl val="0"/>
      </c:catAx>
      <c:valAx>
        <c:axId val="45172674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2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2021-06-09</a:t>
            </a:r>
          </a:p>
        </c:rich>
      </c:tx>
      <c:layout>
        <c:manualLayout>
          <c:xMode val="edge"/>
          <c:yMode val="edge"/>
          <c:x val="0.12829946229739789"/>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'June 9, 2021'!$B$2:$B$3</c:f>
              <c:strCache>
                <c:ptCount val="2"/>
                <c:pt idx="0">
                  <c:v>Total Hospital</c:v>
                </c:pt>
                <c:pt idx="1">
                  <c:v>1738</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9,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9, 2021'!$B$4:$B$16</c:f>
              <c:numCache>
                <c:formatCode>General</c:formatCode>
                <c:ptCount val="13"/>
                <c:pt idx="0">
                  <c:v>203</c:v>
                </c:pt>
                <c:pt idx="1">
                  <c:v>336</c:v>
                </c:pt>
                <c:pt idx="2" formatCode="0">
                  <c:v>547</c:v>
                </c:pt>
                <c:pt idx="3" formatCode="#,##0">
                  <c:v>257</c:v>
                </c:pt>
                <c:pt idx="4">
                  <c:v>8</c:v>
                </c:pt>
                <c:pt idx="5">
                  <c:v>4</c:v>
                </c:pt>
                <c:pt idx="6">
                  <c:v>293</c:v>
                </c:pt>
                <c:pt idx="7">
                  <c:v>0</c:v>
                </c:pt>
                <c:pt idx="8">
                  <c:v>89</c:v>
                </c:pt>
                <c:pt idx="9">
                  <c:v>1</c:v>
                </c:pt>
                <c:pt idx="10">
                  <c:v>0</c:v>
                </c:pt>
                <c:pt idx="11">
                  <c:v>0</c:v>
                </c:pt>
                <c:pt idx="12">
                  <c:v>0</c:v>
                </c:pt>
              </c:numCache>
            </c:numRef>
          </c:val>
          <c:extLst>
            <c:ext xmlns:c16="http://schemas.microsoft.com/office/drawing/2014/chart" uri="{C3380CC4-5D6E-409C-BE32-E72D297353CC}">
              <c16:uniqueId val="{00000000-6B45-4F71-8761-81B3EE9E0FFA}"/>
            </c:ext>
          </c:extLst>
        </c:ser>
        <c:ser>
          <c:idx val="1"/>
          <c:order val="1"/>
          <c:tx>
            <c:strRef>
              <c:f>'June 9, 2021'!$C$2:$C$3</c:f>
              <c:strCache>
                <c:ptCount val="2"/>
                <c:pt idx="0">
                  <c:v>Total ICU</c:v>
                </c:pt>
                <c:pt idx="1">
                  <c:v>795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B45-4F71-8761-81B3EE9E0FF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9,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9, 2021'!$C$4:$C$16</c:f>
              <c:numCache>
                <c:formatCode>General</c:formatCode>
                <c:ptCount val="13"/>
                <c:pt idx="0">
                  <c:v>57</c:v>
                </c:pt>
                <c:pt idx="1">
                  <c:v>85</c:v>
                </c:pt>
                <c:pt idx="2">
                  <c:v>497</c:v>
                </c:pt>
                <c:pt idx="3">
                  <c:v>60</c:v>
                </c:pt>
                <c:pt idx="4">
                  <c:v>7</c:v>
                </c:pt>
                <c:pt idx="5">
                  <c:v>2</c:v>
                </c:pt>
                <c:pt idx="6">
                  <c:v>67</c:v>
                </c:pt>
                <c:pt idx="7">
                  <c:v>0</c:v>
                </c:pt>
                <c:pt idx="8">
                  <c:v>20</c:v>
                </c:pt>
                <c:pt idx="9">
                  <c:v>0</c:v>
                </c:pt>
                <c:pt idx="10">
                  <c:v>0</c:v>
                </c:pt>
                <c:pt idx="11">
                  <c:v>0</c:v>
                </c:pt>
                <c:pt idx="12">
                  <c:v>0</c:v>
                </c:pt>
              </c:numCache>
            </c:numRef>
          </c:val>
          <c:extLst>
            <c:ext xmlns:c16="http://schemas.microsoft.com/office/drawing/2014/chart" uri="{C3380CC4-5D6E-409C-BE32-E72D297353CC}">
              <c16:uniqueId val="{00000002-6B45-4F71-8761-81B3EE9E0FFA}"/>
            </c:ext>
          </c:extLst>
        </c:ser>
        <c:dLbls>
          <c:dLblPos val="outEnd"/>
          <c:showLegendKey val="0"/>
          <c:showVal val="1"/>
          <c:showCatName val="0"/>
          <c:showSerName val="0"/>
          <c:showPercent val="0"/>
          <c:showBubbleSize val="0"/>
        </c:dLbls>
        <c:gapWidth val="100"/>
        <c:overlap val="-24"/>
        <c:axId val="514267296"/>
        <c:axId val="514259848"/>
      </c:barChart>
      <c:catAx>
        <c:axId val="51426729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59848"/>
        <c:crosses val="autoZero"/>
        <c:auto val="1"/>
        <c:lblAlgn val="ctr"/>
        <c:lblOffset val="100"/>
        <c:noMultiLvlLbl val="0"/>
      </c:catAx>
      <c:valAx>
        <c:axId val="51425984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67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2021-06-07</a:t>
            </a:r>
          </a:p>
        </c:rich>
      </c:tx>
      <c:layout>
        <c:manualLayout>
          <c:xMode val="edge"/>
          <c:yMode val="edge"/>
          <c:x val="0.12829946229739789"/>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'June 7, 2021'!$B$2:$B$3</c:f>
              <c:strCache>
                <c:ptCount val="2"/>
                <c:pt idx="0">
                  <c:v>Total Hospital</c:v>
                </c:pt>
                <c:pt idx="1">
                  <c:v>1808</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7,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7, 2021'!$B$4:$B$16</c:f>
              <c:numCache>
                <c:formatCode>General</c:formatCode>
                <c:ptCount val="13"/>
                <c:pt idx="0">
                  <c:v>224</c:v>
                </c:pt>
                <c:pt idx="1">
                  <c:v>360</c:v>
                </c:pt>
                <c:pt idx="2" formatCode="0">
                  <c:v>547</c:v>
                </c:pt>
                <c:pt idx="3" formatCode="#,##0">
                  <c:v>265</c:v>
                </c:pt>
                <c:pt idx="4">
                  <c:v>15</c:v>
                </c:pt>
                <c:pt idx="5">
                  <c:v>4</c:v>
                </c:pt>
                <c:pt idx="6">
                  <c:v>308</c:v>
                </c:pt>
                <c:pt idx="7">
                  <c:v>0</c:v>
                </c:pt>
                <c:pt idx="8">
                  <c:v>83</c:v>
                </c:pt>
                <c:pt idx="9">
                  <c:v>2</c:v>
                </c:pt>
                <c:pt idx="10">
                  <c:v>0</c:v>
                </c:pt>
                <c:pt idx="11">
                  <c:v>0</c:v>
                </c:pt>
                <c:pt idx="12">
                  <c:v>0</c:v>
                </c:pt>
              </c:numCache>
            </c:numRef>
          </c:val>
          <c:extLst>
            <c:ext xmlns:c16="http://schemas.microsoft.com/office/drawing/2014/chart" uri="{C3380CC4-5D6E-409C-BE32-E72D297353CC}">
              <c16:uniqueId val="{00000000-EA39-48C4-9E90-B499FD84D85F}"/>
            </c:ext>
          </c:extLst>
        </c:ser>
        <c:ser>
          <c:idx val="1"/>
          <c:order val="1"/>
          <c:tx>
            <c:strRef>
              <c:f>'June 7, 2021'!$C$2:$C$3</c:f>
              <c:strCache>
                <c:ptCount val="2"/>
                <c:pt idx="0">
                  <c:v>Total ICU</c:v>
                </c:pt>
                <c:pt idx="1">
                  <c:v>804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39-48C4-9E90-B499FD84D85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7,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7, 2021'!$C$4:$C$16</c:f>
              <c:numCache>
                <c:formatCode>General</c:formatCode>
                <c:ptCount val="13"/>
                <c:pt idx="0">
                  <c:v>59</c:v>
                </c:pt>
                <c:pt idx="1">
                  <c:v>96</c:v>
                </c:pt>
                <c:pt idx="2">
                  <c:v>497</c:v>
                </c:pt>
                <c:pt idx="3">
                  <c:v>58</c:v>
                </c:pt>
                <c:pt idx="4">
                  <c:v>7</c:v>
                </c:pt>
                <c:pt idx="5">
                  <c:v>2</c:v>
                </c:pt>
                <c:pt idx="6">
                  <c:v>66</c:v>
                </c:pt>
                <c:pt idx="7">
                  <c:v>0</c:v>
                </c:pt>
                <c:pt idx="8">
                  <c:v>19</c:v>
                </c:pt>
                <c:pt idx="9">
                  <c:v>0</c:v>
                </c:pt>
                <c:pt idx="10">
                  <c:v>0</c:v>
                </c:pt>
                <c:pt idx="11">
                  <c:v>0</c:v>
                </c:pt>
                <c:pt idx="12">
                  <c:v>0</c:v>
                </c:pt>
              </c:numCache>
            </c:numRef>
          </c:val>
          <c:extLst>
            <c:ext xmlns:c16="http://schemas.microsoft.com/office/drawing/2014/chart" uri="{C3380CC4-5D6E-409C-BE32-E72D297353CC}">
              <c16:uniqueId val="{00000002-EA39-48C4-9E90-B499FD84D85F}"/>
            </c:ext>
          </c:extLst>
        </c:ser>
        <c:dLbls>
          <c:dLblPos val="outEnd"/>
          <c:showLegendKey val="0"/>
          <c:showVal val="1"/>
          <c:showCatName val="0"/>
          <c:showSerName val="0"/>
          <c:showPercent val="0"/>
          <c:showBubbleSize val="0"/>
        </c:dLbls>
        <c:gapWidth val="100"/>
        <c:overlap val="-24"/>
        <c:axId val="514263768"/>
        <c:axId val="514266512"/>
      </c:barChart>
      <c:catAx>
        <c:axId val="5142637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66512"/>
        <c:crosses val="autoZero"/>
        <c:auto val="1"/>
        <c:lblAlgn val="ctr"/>
        <c:lblOffset val="100"/>
        <c:noMultiLvlLbl val="0"/>
      </c:catAx>
      <c:valAx>
        <c:axId val="51426651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63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2022-05-27</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'May 27, 2022'!$B$2:$B$3</c:f>
              <c:strCache>
                <c:ptCount val="2"/>
                <c:pt idx="0">
                  <c:v>Total Hospital</c:v>
                </c:pt>
                <c:pt idx="1">
                  <c:v>4212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27,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27, 2022'!$B$4:$B$16</c:f>
              <c:numCache>
                <c:formatCode>General</c:formatCode>
                <c:ptCount val="13"/>
                <c:pt idx="0">
                  <c:v>473</c:v>
                </c:pt>
                <c:pt idx="1">
                  <c:v>1040</c:v>
                </c:pt>
                <c:pt idx="2" formatCode="0">
                  <c:v>948</c:v>
                </c:pt>
                <c:pt idx="3" formatCode="#,##0">
                  <c:v>1288</c:v>
                </c:pt>
                <c:pt idx="4">
                  <c:v>41</c:v>
                </c:pt>
                <c:pt idx="5">
                  <c:v>27</c:v>
                </c:pt>
                <c:pt idx="6">
                  <c:v>112</c:v>
                </c:pt>
                <c:pt idx="7">
                  <c:v>12</c:v>
                </c:pt>
                <c:pt idx="8">
                  <c:v>258</c:v>
                </c:pt>
                <c:pt idx="9">
                  <c:v>13</c:v>
                </c:pt>
                <c:pt idx="10">
                  <c:v>0</c:v>
                </c:pt>
                <c:pt idx="11">
                  <c:v>0</c:v>
                </c:pt>
                <c:pt idx="12">
                  <c:v>0</c:v>
                </c:pt>
              </c:numCache>
            </c:numRef>
          </c:val>
          <c:extLst>
            <c:ext xmlns:c16="http://schemas.microsoft.com/office/drawing/2014/chart" uri="{C3380CC4-5D6E-409C-BE32-E72D297353CC}">
              <c16:uniqueId val="{00000000-EDA9-447A-B34A-7F5482B615D8}"/>
            </c:ext>
          </c:extLst>
        </c:ser>
        <c:ser>
          <c:idx val="1"/>
          <c:order val="1"/>
          <c:tx>
            <c:strRef>
              <c:f>'May 27, 2022'!$C$2:$C$3</c:f>
              <c:strCache>
                <c:ptCount val="2"/>
                <c:pt idx="0">
                  <c:v>Total ICU</c:v>
                </c:pt>
                <c:pt idx="1">
                  <c:v>306</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27,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27, 2022'!$C$4:$C$16</c:f>
              <c:numCache>
                <c:formatCode>General</c:formatCode>
                <c:ptCount val="13"/>
                <c:pt idx="0">
                  <c:v>42</c:v>
                </c:pt>
                <c:pt idx="1">
                  <c:v>31</c:v>
                </c:pt>
                <c:pt idx="2">
                  <c:v>154</c:v>
                </c:pt>
                <c:pt idx="3">
                  <c:v>36</c:v>
                </c:pt>
                <c:pt idx="4">
                  <c:v>8</c:v>
                </c:pt>
                <c:pt idx="5">
                  <c:v>2</c:v>
                </c:pt>
                <c:pt idx="6">
                  <c:v>21</c:v>
                </c:pt>
                <c:pt idx="7">
                  <c:v>0</c:v>
                </c:pt>
                <c:pt idx="8">
                  <c:v>10</c:v>
                </c:pt>
                <c:pt idx="9">
                  <c:v>2</c:v>
                </c:pt>
                <c:pt idx="10">
                  <c:v>0</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528188568"/>
        <c:axId val="528192880"/>
      </c:barChart>
      <c:catAx>
        <c:axId val="5281885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92880"/>
        <c:crosses val="autoZero"/>
        <c:auto val="1"/>
        <c:lblAlgn val="ctr"/>
        <c:lblOffset val="100"/>
        <c:noMultiLvlLbl val="0"/>
      </c:catAx>
      <c:valAx>
        <c:axId val="5281928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88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2021-06-04</a:t>
            </a:r>
          </a:p>
        </c:rich>
      </c:tx>
      <c:layout>
        <c:manualLayout>
          <c:xMode val="edge"/>
          <c:yMode val="edge"/>
          <c:x val="0.12829946229739789"/>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'June 4, 2021'!$B$2:$B$3</c:f>
              <c:strCache>
                <c:ptCount val="2"/>
                <c:pt idx="0">
                  <c:v>Total Hospital</c:v>
                </c:pt>
                <c:pt idx="1">
                  <c:v>2023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4,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4, 2021'!$B$4:$B$16</c:f>
              <c:numCache>
                <c:formatCode>General</c:formatCode>
                <c:ptCount val="13"/>
                <c:pt idx="0">
                  <c:v>224</c:v>
                </c:pt>
                <c:pt idx="1">
                  <c:v>411</c:v>
                </c:pt>
                <c:pt idx="2" formatCode="0">
                  <c:v>687</c:v>
                </c:pt>
                <c:pt idx="3" formatCode="#,##0">
                  <c:v>307</c:v>
                </c:pt>
                <c:pt idx="4">
                  <c:v>13</c:v>
                </c:pt>
                <c:pt idx="5">
                  <c:v>5</c:v>
                </c:pt>
                <c:pt idx="6">
                  <c:v>297</c:v>
                </c:pt>
                <c:pt idx="7">
                  <c:v>0</c:v>
                </c:pt>
                <c:pt idx="8">
                  <c:v>77</c:v>
                </c:pt>
                <c:pt idx="9">
                  <c:v>2</c:v>
                </c:pt>
                <c:pt idx="10">
                  <c:v>0</c:v>
                </c:pt>
                <c:pt idx="11">
                  <c:v>0</c:v>
                </c:pt>
                <c:pt idx="12">
                  <c:v>0</c:v>
                </c:pt>
              </c:numCache>
            </c:numRef>
          </c:val>
          <c:extLst>
            <c:ext xmlns:c16="http://schemas.microsoft.com/office/drawing/2014/chart" uri="{C3380CC4-5D6E-409C-BE32-E72D297353CC}">
              <c16:uniqueId val="{00000000-608C-4F3E-AE14-377FC1AFF651}"/>
            </c:ext>
          </c:extLst>
        </c:ser>
        <c:ser>
          <c:idx val="1"/>
          <c:order val="1"/>
          <c:tx>
            <c:strRef>
              <c:f>'June 4, 2021'!$C$2:$C$3</c:f>
              <c:strCache>
                <c:ptCount val="2"/>
                <c:pt idx="0">
                  <c:v>Total ICU</c:v>
                </c:pt>
                <c:pt idx="1">
                  <c:v>873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08C-4F3E-AE14-377FC1AFF65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4,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4, 2021'!$C$4:$C$16</c:f>
              <c:numCache>
                <c:formatCode>General</c:formatCode>
                <c:ptCount val="13"/>
                <c:pt idx="0">
                  <c:v>62</c:v>
                </c:pt>
                <c:pt idx="1">
                  <c:v>120</c:v>
                </c:pt>
                <c:pt idx="2">
                  <c:v>522</c:v>
                </c:pt>
                <c:pt idx="3">
                  <c:v>67</c:v>
                </c:pt>
                <c:pt idx="4">
                  <c:v>9</c:v>
                </c:pt>
                <c:pt idx="5">
                  <c:v>2</c:v>
                </c:pt>
                <c:pt idx="6">
                  <c:v>68</c:v>
                </c:pt>
                <c:pt idx="7">
                  <c:v>0</c:v>
                </c:pt>
                <c:pt idx="8">
                  <c:v>23</c:v>
                </c:pt>
                <c:pt idx="9">
                  <c:v>0</c:v>
                </c:pt>
                <c:pt idx="10">
                  <c:v>0</c:v>
                </c:pt>
                <c:pt idx="11">
                  <c:v>0</c:v>
                </c:pt>
                <c:pt idx="12">
                  <c:v>0</c:v>
                </c:pt>
              </c:numCache>
            </c:numRef>
          </c:val>
          <c:extLst>
            <c:ext xmlns:c16="http://schemas.microsoft.com/office/drawing/2014/chart" uri="{C3380CC4-5D6E-409C-BE32-E72D297353CC}">
              <c16:uniqueId val="{00000002-608C-4F3E-AE14-377FC1AFF651}"/>
            </c:ext>
          </c:extLst>
        </c:ser>
        <c:dLbls>
          <c:dLblPos val="outEnd"/>
          <c:showLegendKey val="0"/>
          <c:showVal val="1"/>
          <c:showCatName val="0"/>
          <c:showSerName val="0"/>
          <c:showPercent val="0"/>
          <c:showBubbleSize val="0"/>
        </c:dLbls>
        <c:gapWidth val="100"/>
        <c:overlap val="-24"/>
        <c:axId val="514268864"/>
        <c:axId val="514268472"/>
      </c:barChart>
      <c:catAx>
        <c:axId val="51426886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68472"/>
        <c:crosses val="autoZero"/>
        <c:auto val="1"/>
        <c:lblAlgn val="ctr"/>
        <c:lblOffset val="100"/>
        <c:noMultiLvlLbl val="0"/>
      </c:catAx>
      <c:valAx>
        <c:axId val="51426847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68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2021-06-02</a:t>
            </a:r>
          </a:p>
        </c:rich>
      </c:tx>
      <c:layout>
        <c:manualLayout>
          <c:xMode val="edge"/>
          <c:yMode val="edge"/>
          <c:x val="0.12829946229739789"/>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'June 2, 2021'!$B$2:$B$3</c:f>
              <c:strCache>
                <c:ptCount val="2"/>
                <c:pt idx="0">
                  <c:v>Total Hospital</c:v>
                </c:pt>
                <c:pt idx="1">
                  <c:v>2174</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2,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2, 2021'!$B$4:$B$16</c:f>
              <c:numCache>
                <c:formatCode>General</c:formatCode>
                <c:ptCount val="13"/>
                <c:pt idx="0">
                  <c:v>254</c:v>
                </c:pt>
                <c:pt idx="1">
                  <c:v>438</c:v>
                </c:pt>
                <c:pt idx="2" formatCode="0">
                  <c:v>708</c:v>
                </c:pt>
                <c:pt idx="3" formatCode="#,##0">
                  <c:v>354</c:v>
                </c:pt>
                <c:pt idx="4">
                  <c:v>23</c:v>
                </c:pt>
                <c:pt idx="5">
                  <c:v>6</c:v>
                </c:pt>
                <c:pt idx="6">
                  <c:v>305</c:v>
                </c:pt>
                <c:pt idx="7">
                  <c:v>0</c:v>
                </c:pt>
                <c:pt idx="8">
                  <c:v>85</c:v>
                </c:pt>
                <c:pt idx="9">
                  <c:v>1</c:v>
                </c:pt>
                <c:pt idx="10">
                  <c:v>0</c:v>
                </c:pt>
                <c:pt idx="11">
                  <c:v>0</c:v>
                </c:pt>
                <c:pt idx="12">
                  <c:v>0</c:v>
                </c:pt>
              </c:numCache>
            </c:numRef>
          </c:val>
          <c:extLst>
            <c:ext xmlns:c16="http://schemas.microsoft.com/office/drawing/2014/chart" uri="{C3380CC4-5D6E-409C-BE32-E72D297353CC}">
              <c16:uniqueId val="{00000000-C701-47CC-818C-B3D792C49E22}"/>
            </c:ext>
          </c:extLst>
        </c:ser>
        <c:ser>
          <c:idx val="1"/>
          <c:order val="1"/>
          <c:tx>
            <c:strRef>
              <c:f>'June 2, 2021'!$C$2:$C$3</c:f>
              <c:strCache>
                <c:ptCount val="2"/>
                <c:pt idx="0">
                  <c:v>Total ICU</c:v>
                </c:pt>
                <c:pt idx="1">
                  <c:v>981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701-47CC-818C-B3D792C49E2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2,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2, 2021'!$C$4:$C$16</c:f>
              <c:numCache>
                <c:formatCode>General</c:formatCode>
                <c:ptCount val="13"/>
                <c:pt idx="0">
                  <c:v>80</c:v>
                </c:pt>
                <c:pt idx="1">
                  <c:v>127</c:v>
                </c:pt>
                <c:pt idx="2">
                  <c:v>576</c:v>
                </c:pt>
                <c:pt idx="3">
                  <c:v>86</c:v>
                </c:pt>
                <c:pt idx="4">
                  <c:v>15</c:v>
                </c:pt>
                <c:pt idx="5">
                  <c:v>2</c:v>
                </c:pt>
                <c:pt idx="6">
                  <c:v>72</c:v>
                </c:pt>
                <c:pt idx="7">
                  <c:v>0</c:v>
                </c:pt>
                <c:pt idx="8">
                  <c:v>23</c:v>
                </c:pt>
                <c:pt idx="9">
                  <c:v>0</c:v>
                </c:pt>
                <c:pt idx="10">
                  <c:v>0</c:v>
                </c:pt>
                <c:pt idx="11">
                  <c:v>0</c:v>
                </c:pt>
                <c:pt idx="12">
                  <c:v>0</c:v>
                </c:pt>
              </c:numCache>
            </c:numRef>
          </c:val>
          <c:extLst>
            <c:ext xmlns:c16="http://schemas.microsoft.com/office/drawing/2014/chart" uri="{C3380CC4-5D6E-409C-BE32-E72D297353CC}">
              <c16:uniqueId val="{00000002-C701-47CC-818C-B3D792C49E22}"/>
            </c:ext>
          </c:extLst>
        </c:ser>
        <c:dLbls>
          <c:dLblPos val="outEnd"/>
          <c:showLegendKey val="0"/>
          <c:showVal val="1"/>
          <c:showCatName val="0"/>
          <c:showSerName val="0"/>
          <c:showPercent val="0"/>
          <c:showBubbleSize val="0"/>
        </c:dLbls>
        <c:gapWidth val="100"/>
        <c:overlap val="-24"/>
        <c:axId val="514262200"/>
        <c:axId val="514261416"/>
      </c:barChart>
      <c:catAx>
        <c:axId val="51426220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61416"/>
        <c:crosses val="autoZero"/>
        <c:auto val="1"/>
        <c:lblAlgn val="ctr"/>
        <c:lblOffset val="100"/>
        <c:noMultiLvlLbl val="0"/>
      </c:catAx>
      <c:valAx>
        <c:axId val="51426141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62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2021-05-31</a:t>
            </a:r>
          </a:p>
        </c:rich>
      </c:tx>
      <c:layout>
        <c:manualLayout>
          <c:xMode val="edge"/>
          <c:yMode val="edge"/>
          <c:x val="0.12829946229739789"/>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'May 31, 2021'!$B$2:$B$3</c:f>
              <c:strCache>
                <c:ptCount val="2"/>
                <c:pt idx="0">
                  <c:v>Total Hospital</c:v>
                </c:pt>
                <c:pt idx="1">
                  <c:v>2256</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31,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31, 2021'!$B$4:$B$16</c:f>
              <c:numCache>
                <c:formatCode>General</c:formatCode>
                <c:ptCount val="13"/>
                <c:pt idx="0">
                  <c:v>292</c:v>
                </c:pt>
                <c:pt idx="1">
                  <c:v>446</c:v>
                </c:pt>
                <c:pt idx="2" formatCode="0">
                  <c:v>731</c:v>
                </c:pt>
                <c:pt idx="3" formatCode="#,##0">
                  <c:v>362</c:v>
                </c:pt>
                <c:pt idx="4">
                  <c:v>24</c:v>
                </c:pt>
                <c:pt idx="5">
                  <c:v>7</c:v>
                </c:pt>
                <c:pt idx="6">
                  <c:v>308</c:v>
                </c:pt>
                <c:pt idx="7">
                  <c:v>0</c:v>
                </c:pt>
                <c:pt idx="8">
                  <c:v>84</c:v>
                </c:pt>
                <c:pt idx="9">
                  <c:v>2</c:v>
                </c:pt>
                <c:pt idx="10">
                  <c:v>0</c:v>
                </c:pt>
                <c:pt idx="11">
                  <c:v>0</c:v>
                </c:pt>
                <c:pt idx="12">
                  <c:v>0</c:v>
                </c:pt>
              </c:numCache>
            </c:numRef>
          </c:val>
          <c:extLst>
            <c:ext xmlns:c16="http://schemas.microsoft.com/office/drawing/2014/chart" uri="{C3380CC4-5D6E-409C-BE32-E72D297353CC}">
              <c16:uniqueId val="{00000000-F7E3-4261-B6B4-39A6E4B6CDA3}"/>
            </c:ext>
          </c:extLst>
        </c:ser>
        <c:ser>
          <c:idx val="1"/>
          <c:order val="1"/>
          <c:tx>
            <c:strRef>
              <c:f>'May 31, 2021'!$C$2:$C$3</c:f>
              <c:strCache>
                <c:ptCount val="2"/>
                <c:pt idx="0">
                  <c:v>Total ICU</c:v>
                </c:pt>
                <c:pt idx="1">
                  <c:v>1041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E3-4261-B6B4-39A6E4B6CDA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31,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31, 2021'!$C$4:$C$16</c:f>
              <c:numCache>
                <c:formatCode>General</c:formatCode>
                <c:ptCount val="13"/>
                <c:pt idx="0">
                  <c:v>79</c:v>
                </c:pt>
                <c:pt idx="1">
                  <c:v>138</c:v>
                </c:pt>
                <c:pt idx="2">
                  <c:v>617</c:v>
                </c:pt>
                <c:pt idx="3">
                  <c:v>89</c:v>
                </c:pt>
                <c:pt idx="4">
                  <c:v>16</c:v>
                </c:pt>
                <c:pt idx="5">
                  <c:v>3</c:v>
                </c:pt>
                <c:pt idx="6">
                  <c:v>74</c:v>
                </c:pt>
                <c:pt idx="7">
                  <c:v>0</c:v>
                </c:pt>
                <c:pt idx="8">
                  <c:v>25</c:v>
                </c:pt>
                <c:pt idx="9">
                  <c:v>0</c:v>
                </c:pt>
                <c:pt idx="10">
                  <c:v>0</c:v>
                </c:pt>
                <c:pt idx="11">
                  <c:v>0</c:v>
                </c:pt>
                <c:pt idx="12">
                  <c:v>0</c:v>
                </c:pt>
              </c:numCache>
            </c:numRef>
          </c:val>
          <c:extLst>
            <c:ext xmlns:c16="http://schemas.microsoft.com/office/drawing/2014/chart" uri="{C3380CC4-5D6E-409C-BE32-E72D297353CC}">
              <c16:uniqueId val="{00000002-F7E3-4261-B6B4-39A6E4B6CDA3}"/>
            </c:ext>
          </c:extLst>
        </c:ser>
        <c:dLbls>
          <c:dLblPos val="outEnd"/>
          <c:showLegendKey val="0"/>
          <c:showVal val="1"/>
          <c:showCatName val="0"/>
          <c:showSerName val="0"/>
          <c:showPercent val="0"/>
          <c:showBubbleSize val="0"/>
        </c:dLbls>
        <c:gapWidth val="100"/>
        <c:overlap val="-24"/>
        <c:axId val="514267688"/>
        <c:axId val="514263376"/>
      </c:barChart>
      <c:catAx>
        <c:axId val="51426768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63376"/>
        <c:crosses val="autoZero"/>
        <c:auto val="1"/>
        <c:lblAlgn val="ctr"/>
        <c:lblOffset val="100"/>
        <c:noMultiLvlLbl val="0"/>
      </c:catAx>
      <c:valAx>
        <c:axId val="51426337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676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2021-05-27</a:t>
            </a:r>
          </a:p>
        </c:rich>
      </c:tx>
      <c:layout>
        <c:manualLayout>
          <c:xMode val="edge"/>
          <c:yMode val="edge"/>
          <c:x val="0.12829946229739789"/>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'May 27, 2021'!$B$2:$B$3</c:f>
              <c:strCache>
                <c:ptCount val="2"/>
                <c:pt idx="0">
                  <c:v>Total Hospital</c:v>
                </c:pt>
                <c:pt idx="1">
                  <c:v>2798</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27,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27, 2021'!$B$4:$B$16</c:f>
              <c:numCache>
                <c:formatCode>General</c:formatCode>
                <c:ptCount val="13"/>
                <c:pt idx="0">
                  <c:v>296</c:v>
                </c:pt>
                <c:pt idx="1">
                  <c:v>548</c:v>
                </c:pt>
                <c:pt idx="2" formatCode="0">
                  <c:v>1072</c:v>
                </c:pt>
                <c:pt idx="3" formatCode="#,##0">
                  <c:v>394</c:v>
                </c:pt>
                <c:pt idx="4">
                  <c:v>53</c:v>
                </c:pt>
                <c:pt idx="5">
                  <c:v>6</c:v>
                </c:pt>
                <c:pt idx="6">
                  <c:v>318</c:v>
                </c:pt>
                <c:pt idx="7">
                  <c:v>0</c:v>
                </c:pt>
                <c:pt idx="8">
                  <c:v>106</c:v>
                </c:pt>
                <c:pt idx="9">
                  <c:v>5</c:v>
                </c:pt>
                <c:pt idx="10">
                  <c:v>0</c:v>
                </c:pt>
                <c:pt idx="11">
                  <c:v>0</c:v>
                </c:pt>
                <c:pt idx="12">
                  <c:v>0</c:v>
                </c:pt>
              </c:numCache>
            </c:numRef>
          </c:val>
          <c:extLst>
            <c:ext xmlns:c16="http://schemas.microsoft.com/office/drawing/2014/chart" uri="{C3380CC4-5D6E-409C-BE32-E72D297353CC}">
              <c16:uniqueId val="{00000000-2BAB-4B4B-AF89-E1BDE955542A}"/>
            </c:ext>
          </c:extLst>
        </c:ser>
        <c:ser>
          <c:idx val="1"/>
          <c:order val="1"/>
          <c:tx>
            <c:strRef>
              <c:f>'May 27, 2021'!$C$2:$C$3</c:f>
              <c:strCache>
                <c:ptCount val="2"/>
                <c:pt idx="0">
                  <c:v>Total ICU</c:v>
                </c:pt>
                <c:pt idx="1">
                  <c:v>1122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BAB-4B4B-AF89-E1BDE955542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27,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27, 2021'!$C$4:$C$16</c:f>
              <c:numCache>
                <c:formatCode>General</c:formatCode>
                <c:ptCount val="13"/>
                <c:pt idx="0">
                  <c:v>97</c:v>
                </c:pt>
                <c:pt idx="1">
                  <c:v>157</c:v>
                </c:pt>
                <c:pt idx="2">
                  <c:v>650</c:v>
                </c:pt>
                <c:pt idx="3">
                  <c:v>96</c:v>
                </c:pt>
                <c:pt idx="4">
                  <c:v>19</c:v>
                </c:pt>
                <c:pt idx="5">
                  <c:v>2</c:v>
                </c:pt>
                <c:pt idx="6">
                  <c:v>74</c:v>
                </c:pt>
                <c:pt idx="7">
                  <c:v>0</c:v>
                </c:pt>
                <c:pt idx="8">
                  <c:v>27</c:v>
                </c:pt>
                <c:pt idx="9">
                  <c:v>0</c:v>
                </c:pt>
                <c:pt idx="10">
                  <c:v>0</c:v>
                </c:pt>
                <c:pt idx="11">
                  <c:v>0</c:v>
                </c:pt>
                <c:pt idx="12">
                  <c:v>0</c:v>
                </c:pt>
              </c:numCache>
            </c:numRef>
          </c:val>
          <c:extLst>
            <c:ext xmlns:c16="http://schemas.microsoft.com/office/drawing/2014/chart" uri="{C3380CC4-5D6E-409C-BE32-E72D297353CC}">
              <c16:uniqueId val="{00000002-2BAB-4B4B-AF89-E1BDE955542A}"/>
            </c:ext>
          </c:extLst>
        </c:ser>
        <c:dLbls>
          <c:dLblPos val="outEnd"/>
          <c:showLegendKey val="0"/>
          <c:showVal val="1"/>
          <c:showCatName val="0"/>
          <c:showSerName val="0"/>
          <c:showPercent val="0"/>
          <c:showBubbleSize val="0"/>
        </c:dLbls>
        <c:gapWidth val="100"/>
        <c:overlap val="-24"/>
        <c:axId val="514269256"/>
        <c:axId val="514266904"/>
      </c:barChart>
      <c:catAx>
        <c:axId val="51426925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66904"/>
        <c:crosses val="autoZero"/>
        <c:auto val="1"/>
        <c:lblAlgn val="ctr"/>
        <c:lblOffset val="100"/>
        <c:noMultiLvlLbl val="0"/>
      </c:catAx>
      <c:valAx>
        <c:axId val="51426690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692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2021-05-25</a:t>
            </a:r>
          </a:p>
        </c:rich>
      </c:tx>
      <c:layout>
        <c:manualLayout>
          <c:xMode val="edge"/>
          <c:yMode val="edge"/>
          <c:x val="0.12829946229739789"/>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'May 25, 2021'!$B$2:$B$3</c:f>
              <c:strCache>
                <c:ptCount val="2"/>
                <c:pt idx="0">
                  <c:v>Total Hospital</c:v>
                </c:pt>
                <c:pt idx="1">
                  <c:v>2813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25,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25, 2021'!$B$4:$B$16</c:f>
              <c:numCache>
                <c:formatCode>General</c:formatCode>
                <c:ptCount val="13"/>
                <c:pt idx="0">
                  <c:v>319</c:v>
                </c:pt>
                <c:pt idx="1">
                  <c:v>569</c:v>
                </c:pt>
                <c:pt idx="2" formatCode="0">
                  <c:v>1025</c:v>
                </c:pt>
                <c:pt idx="3" formatCode="#,##0">
                  <c:v>415</c:v>
                </c:pt>
                <c:pt idx="4">
                  <c:v>53</c:v>
                </c:pt>
                <c:pt idx="5">
                  <c:v>7</c:v>
                </c:pt>
                <c:pt idx="6">
                  <c:v>316</c:v>
                </c:pt>
                <c:pt idx="7">
                  <c:v>0</c:v>
                </c:pt>
                <c:pt idx="8">
                  <c:v>105</c:v>
                </c:pt>
                <c:pt idx="9">
                  <c:v>4</c:v>
                </c:pt>
                <c:pt idx="10">
                  <c:v>0</c:v>
                </c:pt>
                <c:pt idx="11">
                  <c:v>0</c:v>
                </c:pt>
                <c:pt idx="12">
                  <c:v>0</c:v>
                </c:pt>
              </c:numCache>
            </c:numRef>
          </c:val>
          <c:extLst>
            <c:ext xmlns:c16="http://schemas.microsoft.com/office/drawing/2014/chart" uri="{C3380CC4-5D6E-409C-BE32-E72D297353CC}">
              <c16:uniqueId val="{00000000-5505-42F0-BF25-880D983018E7}"/>
            </c:ext>
          </c:extLst>
        </c:ser>
        <c:ser>
          <c:idx val="1"/>
          <c:order val="1"/>
          <c:tx>
            <c:strRef>
              <c:f>'May 25, 2021'!$C$2:$C$3</c:f>
              <c:strCache>
                <c:ptCount val="2"/>
                <c:pt idx="0">
                  <c:v>Total ICU</c:v>
                </c:pt>
                <c:pt idx="1">
                  <c:v>1186</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05-42F0-BF25-880D983018E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25,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25, 2021'!$C$4:$C$16</c:f>
              <c:numCache>
                <c:formatCode>General</c:formatCode>
                <c:ptCount val="13"/>
                <c:pt idx="0">
                  <c:v>107</c:v>
                </c:pt>
                <c:pt idx="1">
                  <c:v>161</c:v>
                </c:pt>
                <c:pt idx="2">
                  <c:v>692</c:v>
                </c:pt>
                <c:pt idx="3">
                  <c:v>101</c:v>
                </c:pt>
                <c:pt idx="4">
                  <c:v>19</c:v>
                </c:pt>
                <c:pt idx="5">
                  <c:v>4</c:v>
                </c:pt>
                <c:pt idx="6">
                  <c:v>74</c:v>
                </c:pt>
                <c:pt idx="7">
                  <c:v>0</c:v>
                </c:pt>
                <c:pt idx="8">
                  <c:v>28</c:v>
                </c:pt>
                <c:pt idx="9">
                  <c:v>0</c:v>
                </c:pt>
                <c:pt idx="10">
                  <c:v>0</c:v>
                </c:pt>
                <c:pt idx="11">
                  <c:v>0</c:v>
                </c:pt>
                <c:pt idx="12">
                  <c:v>0</c:v>
                </c:pt>
              </c:numCache>
            </c:numRef>
          </c:val>
          <c:extLst>
            <c:ext xmlns:c16="http://schemas.microsoft.com/office/drawing/2014/chart" uri="{C3380CC4-5D6E-409C-BE32-E72D297353CC}">
              <c16:uniqueId val="{00000002-5505-42F0-BF25-880D983018E7}"/>
            </c:ext>
          </c:extLst>
        </c:ser>
        <c:dLbls>
          <c:dLblPos val="outEnd"/>
          <c:showLegendKey val="0"/>
          <c:showVal val="1"/>
          <c:showCatName val="0"/>
          <c:showSerName val="0"/>
          <c:showPercent val="0"/>
          <c:showBubbleSize val="0"/>
        </c:dLbls>
        <c:gapWidth val="100"/>
        <c:overlap val="-24"/>
        <c:axId val="514258280"/>
        <c:axId val="514262592"/>
      </c:barChart>
      <c:catAx>
        <c:axId val="51425828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62592"/>
        <c:crosses val="autoZero"/>
        <c:auto val="1"/>
        <c:lblAlgn val="ctr"/>
        <c:lblOffset val="100"/>
        <c:noMultiLvlLbl val="0"/>
      </c:catAx>
      <c:valAx>
        <c:axId val="51426259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58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2021-05-21</a:t>
            </a:r>
          </a:p>
        </c:rich>
      </c:tx>
      <c:layout>
        <c:manualLayout>
          <c:xMode val="edge"/>
          <c:yMode val="edge"/>
          <c:x val="0.12829946229739789"/>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'May 21, 2021'!$B$2:$B$3</c:f>
              <c:strCache>
                <c:ptCount val="2"/>
                <c:pt idx="0">
                  <c:v>Total Hospital</c:v>
                </c:pt>
                <c:pt idx="1">
                  <c:v>3223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21,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21, 2021'!$B$4:$B$16</c:f>
              <c:numCache>
                <c:formatCode>General</c:formatCode>
                <c:ptCount val="13"/>
                <c:pt idx="0">
                  <c:v>331</c:v>
                </c:pt>
                <c:pt idx="1">
                  <c:v>665</c:v>
                </c:pt>
                <c:pt idx="2" formatCode="0">
                  <c:v>1265</c:v>
                </c:pt>
                <c:pt idx="3" formatCode="#,##0">
                  <c:v>437</c:v>
                </c:pt>
                <c:pt idx="4">
                  <c:v>87</c:v>
                </c:pt>
                <c:pt idx="5">
                  <c:v>7</c:v>
                </c:pt>
                <c:pt idx="6">
                  <c:v>291</c:v>
                </c:pt>
                <c:pt idx="7">
                  <c:v>0</c:v>
                </c:pt>
                <c:pt idx="8">
                  <c:v>138</c:v>
                </c:pt>
                <c:pt idx="9">
                  <c:v>2</c:v>
                </c:pt>
                <c:pt idx="10">
                  <c:v>0</c:v>
                </c:pt>
                <c:pt idx="11">
                  <c:v>0</c:v>
                </c:pt>
                <c:pt idx="12">
                  <c:v>0</c:v>
                </c:pt>
              </c:numCache>
            </c:numRef>
          </c:val>
          <c:extLst>
            <c:ext xmlns:c16="http://schemas.microsoft.com/office/drawing/2014/chart" uri="{C3380CC4-5D6E-409C-BE32-E72D297353CC}">
              <c16:uniqueId val="{00000000-0732-4B4C-94DA-051ED79DAAAD}"/>
            </c:ext>
          </c:extLst>
        </c:ser>
        <c:ser>
          <c:idx val="1"/>
          <c:order val="1"/>
          <c:tx>
            <c:strRef>
              <c:f>'May 21, 2021'!$C$2:$C$3</c:f>
              <c:strCache>
                <c:ptCount val="2"/>
                <c:pt idx="0">
                  <c:v>Total ICU</c:v>
                </c:pt>
                <c:pt idx="1">
                  <c:v>1236</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732-4B4C-94DA-051ED79DAAA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21,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21, 2021'!$C$4:$C$16</c:f>
              <c:numCache>
                <c:formatCode>General</c:formatCode>
                <c:ptCount val="13"/>
                <c:pt idx="0">
                  <c:v>113</c:v>
                </c:pt>
                <c:pt idx="1">
                  <c:v>177</c:v>
                </c:pt>
                <c:pt idx="2">
                  <c:v>715</c:v>
                </c:pt>
                <c:pt idx="3">
                  <c:v>106</c:v>
                </c:pt>
                <c:pt idx="4">
                  <c:v>20</c:v>
                </c:pt>
                <c:pt idx="5">
                  <c:v>3</c:v>
                </c:pt>
                <c:pt idx="6">
                  <c:v>76</c:v>
                </c:pt>
                <c:pt idx="7">
                  <c:v>0</c:v>
                </c:pt>
                <c:pt idx="8">
                  <c:v>26</c:v>
                </c:pt>
                <c:pt idx="9">
                  <c:v>0</c:v>
                </c:pt>
                <c:pt idx="10">
                  <c:v>0</c:v>
                </c:pt>
                <c:pt idx="11">
                  <c:v>0</c:v>
                </c:pt>
                <c:pt idx="12">
                  <c:v>0</c:v>
                </c:pt>
              </c:numCache>
            </c:numRef>
          </c:val>
          <c:extLst>
            <c:ext xmlns:c16="http://schemas.microsoft.com/office/drawing/2014/chart" uri="{C3380CC4-5D6E-409C-BE32-E72D297353CC}">
              <c16:uniqueId val="{00000002-0732-4B4C-94DA-051ED79DAAAD}"/>
            </c:ext>
          </c:extLst>
        </c:ser>
        <c:dLbls>
          <c:dLblPos val="outEnd"/>
          <c:showLegendKey val="0"/>
          <c:showVal val="1"/>
          <c:showCatName val="0"/>
          <c:showSerName val="0"/>
          <c:showPercent val="0"/>
          <c:showBubbleSize val="0"/>
        </c:dLbls>
        <c:gapWidth val="100"/>
        <c:overlap val="-24"/>
        <c:axId val="514268080"/>
        <c:axId val="514269648"/>
      </c:barChart>
      <c:catAx>
        <c:axId val="51426808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69648"/>
        <c:crosses val="autoZero"/>
        <c:auto val="1"/>
        <c:lblAlgn val="ctr"/>
        <c:lblOffset val="100"/>
        <c:noMultiLvlLbl val="0"/>
      </c:catAx>
      <c:valAx>
        <c:axId val="51426964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68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2021-05-19</a:t>
            </a:r>
          </a:p>
        </c:rich>
      </c:tx>
      <c:layout>
        <c:manualLayout>
          <c:xMode val="edge"/>
          <c:yMode val="edge"/>
          <c:x val="0.12829946229739789"/>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'May 19, 2021'!$B$2:$B$3</c:f>
              <c:strCache>
                <c:ptCount val="2"/>
                <c:pt idx="0">
                  <c:v>Total Hospital</c:v>
                </c:pt>
                <c:pt idx="1">
                  <c:v>3395</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19,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19, 2021'!$B$4:$B$16</c:f>
              <c:numCache>
                <c:formatCode>General</c:formatCode>
                <c:ptCount val="13"/>
                <c:pt idx="0">
                  <c:v>360</c:v>
                </c:pt>
                <c:pt idx="1">
                  <c:v>691</c:v>
                </c:pt>
                <c:pt idx="2" formatCode="0">
                  <c:v>1401</c:v>
                </c:pt>
                <c:pt idx="3" formatCode="#,##0">
                  <c:v>466</c:v>
                </c:pt>
                <c:pt idx="4">
                  <c:v>81</c:v>
                </c:pt>
                <c:pt idx="5">
                  <c:v>11</c:v>
                </c:pt>
                <c:pt idx="6">
                  <c:v>278</c:v>
                </c:pt>
                <c:pt idx="7">
                  <c:v>0</c:v>
                </c:pt>
                <c:pt idx="8">
                  <c:v>106</c:v>
                </c:pt>
                <c:pt idx="9">
                  <c:v>1</c:v>
                </c:pt>
                <c:pt idx="10">
                  <c:v>0</c:v>
                </c:pt>
                <c:pt idx="11">
                  <c:v>0</c:v>
                </c:pt>
                <c:pt idx="12">
                  <c:v>0</c:v>
                </c:pt>
              </c:numCache>
            </c:numRef>
          </c:val>
          <c:extLst>
            <c:ext xmlns:c16="http://schemas.microsoft.com/office/drawing/2014/chart" uri="{C3380CC4-5D6E-409C-BE32-E72D297353CC}">
              <c16:uniqueId val="{00000000-0732-4B4C-94DA-051ED79DAAAD}"/>
            </c:ext>
          </c:extLst>
        </c:ser>
        <c:ser>
          <c:idx val="1"/>
          <c:order val="1"/>
          <c:tx>
            <c:strRef>
              <c:f>'May 19, 2021'!$C$2:$C$3</c:f>
              <c:strCache>
                <c:ptCount val="2"/>
                <c:pt idx="0">
                  <c:v>Total ICU</c:v>
                </c:pt>
                <c:pt idx="1">
                  <c:v>1284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732-4B4C-94DA-051ED79DAAA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19,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19, 2021'!$C$4:$C$16</c:f>
              <c:numCache>
                <c:formatCode>General</c:formatCode>
                <c:ptCount val="13"/>
                <c:pt idx="0">
                  <c:v>127</c:v>
                </c:pt>
                <c:pt idx="1">
                  <c:v>187</c:v>
                </c:pt>
                <c:pt idx="2">
                  <c:v>735</c:v>
                </c:pt>
                <c:pt idx="3">
                  <c:v>113</c:v>
                </c:pt>
                <c:pt idx="4">
                  <c:v>20</c:v>
                </c:pt>
                <c:pt idx="5">
                  <c:v>4</c:v>
                </c:pt>
                <c:pt idx="6">
                  <c:v>70</c:v>
                </c:pt>
                <c:pt idx="7">
                  <c:v>0</c:v>
                </c:pt>
                <c:pt idx="8">
                  <c:v>28</c:v>
                </c:pt>
                <c:pt idx="9">
                  <c:v>0</c:v>
                </c:pt>
                <c:pt idx="10">
                  <c:v>0</c:v>
                </c:pt>
                <c:pt idx="11">
                  <c:v>0</c:v>
                </c:pt>
                <c:pt idx="12">
                  <c:v>0</c:v>
                </c:pt>
              </c:numCache>
            </c:numRef>
          </c:val>
          <c:extLst>
            <c:ext xmlns:c16="http://schemas.microsoft.com/office/drawing/2014/chart" uri="{C3380CC4-5D6E-409C-BE32-E72D297353CC}">
              <c16:uniqueId val="{00000002-0732-4B4C-94DA-051ED79DAAAD}"/>
            </c:ext>
          </c:extLst>
        </c:ser>
        <c:dLbls>
          <c:dLblPos val="outEnd"/>
          <c:showLegendKey val="0"/>
          <c:showVal val="1"/>
          <c:showCatName val="0"/>
          <c:showSerName val="0"/>
          <c:showPercent val="0"/>
          <c:showBubbleSize val="0"/>
        </c:dLbls>
        <c:gapWidth val="100"/>
        <c:overlap val="-24"/>
        <c:axId val="514257888"/>
        <c:axId val="514264552"/>
      </c:barChart>
      <c:catAx>
        <c:axId val="51425788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64552"/>
        <c:crosses val="autoZero"/>
        <c:auto val="1"/>
        <c:lblAlgn val="ctr"/>
        <c:lblOffset val="100"/>
        <c:noMultiLvlLbl val="0"/>
      </c:catAx>
      <c:valAx>
        <c:axId val="51426455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57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2021-05-17</a:t>
            </a:r>
          </a:p>
        </c:rich>
      </c:tx>
      <c:layout>
        <c:manualLayout>
          <c:xMode val="edge"/>
          <c:yMode val="edge"/>
          <c:x val="0.12829946229739789"/>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'May 17, 2021'!$B$2:$B$3</c:f>
              <c:strCache>
                <c:ptCount val="2"/>
                <c:pt idx="0">
                  <c:v>Total Hospital</c:v>
                </c:pt>
                <c:pt idx="1">
                  <c:v>3292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17,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17, 2021'!$B$4:$B$16</c:f>
              <c:numCache>
                <c:formatCode>General</c:formatCode>
                <c:ptCount val="13"/>
                <c:pt idx="0">
                  <c:v>367</c:v>
                </c:pt>
                <c:pt idx="1">
                  <c:v>647</c:v>
                </c:pt>
                <c:pt idx="2" formatCode="0">
                  <c:v>1320</c:v>
                </c:pt>
                <c:pt idx="3" formatCode="#,##0">
                  <c:v>501</c:v>
                </c:pt>
                <c:pt idx="4">
                  <c:v>74</c:v>
                </c:pt>
                <c:pt idx="5">
                  <c:v>11</c:v>
                </c:pt>
                <c:pt idx="6">
                  <c:v>258</c:v>
                </c:pt>
                <c:pt idx="7">
                  <c:v>0</c:v>
                </c:pt>
                <c:pt idx="8">
                  <c:v>113</c:v>
                </c:pt>
                <c:pt idx="9">
                  <c:v>1</c:v>
                </c:pt>
                <c:pt idx="10">
                  <c:v>0</c:v>
                </c:pt>
                <c:pt idx="11">
                  <c:v>0</c:v>
                </c:pt>
                <c:pt idx="12">
                  <c:v>0</c:v>
                </c:pt>
              </c:numCache>
            </c:numRef>
          </c:val>
          <c:extLst>
            <c:ext xmlns:c16="http://schemas.microsoft.com/office/drawing/2014/chart" uri="{C3380CC4-5D6E-409C-BE32-E72D297353CC}">
              <c16:uniqueId val="{00000000-D2F0-4F37-9FE2-EA806B02D8F8}"/>
            </c:ext>
          </c:extLst>
        </c:ser>
        <c:ser>
          <c:idx val="1"/>
          <c:order val="1"/>
          <c:tx>
            <c:strRef>
              <c:f>'May 17, 2021'!$C$2:$C$3</c:f>
              <c:strCache>
                <c:ptCount val="2"/>
                <c:pt idx="0">
                  <c:v>Total ICU</c:v>
                </c:pt>
                <c:pt idx="1">
                  <c:v>1341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2F0-4F37-9FE2-EA806B02D8F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17,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17, 2021'!$C$4:$C$16</c:f>
              <c:numCache>
                <c:formatCode>General</c:formatCode>
                <c:ptCount val="13"/>
                <c:pt idx="0">
                  <c:v>141</c:v>
                </c:pt>
                <c:pt idx="1">
                  <c:v>186</c:v>
                </c:pt>
                <c:pt idx="2">
                  <c:v>779</c:v>
                </c:pt>
                <c:pt idx="3">
                  <c:v>116</c:v>
                </c:pt>
                <c:pt idx="4">
                  <c:v>21</c:v>
                </c:pt>
                <c:pt idx="5">
                  <c:v>3</c:v>
                </c:pt>
                <c:pt idx="6">
                  <c:v>71</c:v>
                </c:pt>
                <c:pt idx="7">
                  <c:v>0</c:v>
                </c:pt>
                <c:pt idx="8">
                  <c:v>24</c:v>
                </c:pt>
                <c:pt idx="9">
                  <c:v>0</c:v>
                </c:pt>
                <c:pt idx="10">
                  <c:v>0</c:v>
                </c:pt>
                <c:pt idx="11">
                  <c:v>0</c:v>
                </c:pt>
                <c:pt idx="12">
                  <c:v>0</c:v>
                </c:pt>
              </c:numCache>
            </c:numRef>
          </c:val>
          <c:extLst>
            <c:ext xmlns:c16="http://schemas.microsoft.com/office/drawing/2014/chart" uri="{C3380CC4-5D6E-409C-BE32-E72D297353CC}">
              <c16:uniqueId val="{00000002-D2F0-4F37-9FE2-EA806B02D8F8}"/>
            </c:ext>
          </c:extLst>
        </c:ser>
        <c:dLbls>
          <c:dLblPos val="outEnd"/>
          <c:showLegendKey val="0"/>
          <c:showVal val="1"/>
          <c:showCatName val="0"/>
          <c:showSerName val="0"/>
          <c:showPercent val="0"/>
          <c:showBubbleSize val="0"/>
        </c:dLbls>
        <c:gapWidth val="100"/>
        <c:overlap val="-24"/>
        <c:axId val="514264944"/>
        <c:axId val="514265728"/>
      </c:barChart>
      <c:catAx>
        <c:axId val="51426494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65728"/>
        <c:crosses val="autoZero"/>
        <c:auto val="1"/>
        <c:lblAlgn val="ctr"/>
        <c:lblOffset val="100"/>
        <c:noMultiLvlLbl val="0"/>
      </c:catAx>
      <c:valAx>
        <c:axId val="51426572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64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2021-05-14</a:t>
            </a:r>
          </a:p>
        </c:rich>
      </c:tx>
      <c:layout>
        <c:manualLayout>
          <c:xMode val="edge"/>
          <c:yMode val="edge"/>
          <c:x val="0.12829946229739789"/>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'May 14, 2021'!$B$2:$B$3</c:f>
              <c:strCache>
                <c:ptCount val="2"/>
                <c:pt idx="0">
                  <c:v>Total Hospital</c:v>
                </c:pt>
                <c:pt idx="1">
                  <c:v>3691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14,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14, 2021'!$B$4:$B$16</c:f>
              <c:numCache>
                <c:formatCode>General</c:formatCode>
                <c:ptCount val="13"/>
                <c:pt idx="0">
                  <c:v>413</c:v>
                </c:pt>
                <c:pt idx="1">
                  <c:v>722</c:v>
                </c:pt>
                <c:pt idx="2" formatCode="0">
                  <c:v>1582</c:v>
                </c:pt>
                <c:pt idx="3" formatCode="#,##0">
                  <c:v>530</c:v>
                </c:pt>
                <c:pt idx="4">
                  <c:v>68</c:v>
                </c:pt>
                <c:pt idx="5">
                  <c:v>10</c:v>
                </c:pt>
                <c:pt idx="6">
                  <c:v>239</c:v>
                </c:pt>
                <c:pt idx="7">
                  <c:v>0</c:v>
                </c:pt>
                <c:pt idx="8">
                  <c:v>126</c:v>
                </c:pt>
                <c:pt idx="9">
                  <c:v>1</c:v>
                </c:pt>
                <c:pt idx="10">
                  <c:v>0</c:v>
                </c:pt>
                <c:pt idx="11">
                  <c:v>0</c:v>
                </c:pt>
                <c:pt idx="12">
                  <c:v>0</c:v>
                </c:pt>
              </c:numCache>
            </c:numRef>
          </c:val>
          <c:extLst>
            <c:ext xmlns:c16="http://schemas.microsoft.com/office/drawing/2014/chart" uri="{C3380CC4-5D6E-409C-BE32-E72D297353CC}">
              <c16:uniqueId val="{00000000-AD27-428B-9A16-5FBC438742AB}"/>
            </c:ext>
          </c:extLst>
        </c:ser>
        <c:ser>
          <c:idx val="1"/>
          <c:order val="1"/>
          <c:tx>
            <c:strRef>
              <c:f>'May 14, 2021'!$C$2:$C$3</c:f>
              <c:strCache>
                <c:ptCount val="2"/>
                <c:pt idx="0">
                  <c:v>Total ICU</c:v>
                </c:pt>
                <c:pt idx="1">
                  <c:v>1344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27-428B-9A16-5FBC438742A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14,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14, 2021'!$C$4:$C$16</c:f>
              <c:numCache>
                <c:formatCode>General</c:formatCode>
                <c:ptCount val="13"/>
                <c:pt idx="0">
                  <c:v>141</c:v>
                </c:pt>
                <c:pt idx="1">
                  <c:v>177</c:v>
                </c:pt>
                <c:pt idx="2">
                  <c:v>777</c:v>
                </c:pt>
                <c:pt idx="3">
                  <c:v>123</c:v>
                </c:pt>
                <c:pt idx="4">
                  <c:v>21</c:v>
                </c:pt>
                <c:pt idx="5">
                  <c:v>3</c:v>
                </c:pt>
                <c:pt idx="6">
                  <c:v>67</c:v>
                </c:pt>
                <c:pt idx="7">
                  <c:v>0</c:v>
                </c:pt>
                <c:pt idx="8">
                  <c:v>35</c:v>
                </c:pt>
                <c:pt idx="9">
                  <c:v>0</c:v>
                </c:pt>
                <c:pt idx="10">
                  <c:v>0</c:v>
                </c:pt>
                <c:pt idx="11">
                  <c:v>0</c:v>
                </c:pt>
                <c:pt idx="12">
                  <c:v>0</c:v>
                </c:pt>
              </c:numCache>
            </c:numRef>
          </c:val>
          <c:extLst>
            <c:ext xmlns:c16="http://schemas.microsoft.com/office/drawing/2014/chart" uri="{C3380CC4-5D6E-409C-BE32-E72D297353CC}">
              <c16:uniqueId val="{00000002-AD27-428B-9A16-5FBC438742AB}"/>
            </c:ext>
          </c:extLst>
        </c:ser>
        <c:dLbls>
          <c:dLblPos val="outEnd"/>
          <c:showLegendKey val="0"/>
          <c:showVal val="1"/>
          <c:showCatName val="0"/>
          <c:showSerName val="0"/>
          <c:showPercent val="0"/>
          <c:showBubbleSize val="0"/>
        </c:dLbls>
        <c:gapWidth val="100"/>
        <c:overlap val="-24"/>
        <c:axId val="514261024"/>
        <c:axId val="514266120"/>
      </c:barChart>
      <c:catAx>
        <c:axId val="51426102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66120"/>
        <c:crosses val="autoZero"/>
        <c:auto val="1"/>
        <c:lblAlgn val="ctr"/>
        <c:lblOffset val="100"/>
        <c:noMultiLvlLbl val="0"/>
      </c:catAx>
      <c:valAx>
        <c:axId val="51426612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61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2021-05-12</a:t>
            </a:r>
          </a:p>
        </c:rich>
      </c:tx>
      <c:layout>
        <c:manualLayout>
          <c:xMode val="edge"/>
          <c:yMode val="edge"/>
          <c:x val="0.1254534078476702"/>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'May 12, 2021'!$B$2:$B$3</c:f>
              <c:strCache>
                <c:ptCount val="2"/>
                <c:pt idx="0">
                  <c:v>Total Hospital</c:v>
                </c:pt>
                <c:pt idx="1">
                  <c:v>3750</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12,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12, 2021'!$B$4:$B$16</c:f>
              <c:numCache>
                <c:formatCode>General</c:formatCode>
                <c:ptCount val="13"/>
                <c:pt idx="0">
                  <c:v>426</c:v>
                </c:pt>
                <c:pt idx="1">
                  <c:v>705</c:v>
                </c:pt>
                <c:pt idx="2" formatCode="0">
                  <c:v>1673</c:v>
                </c:pt>
                <c:pt idx="3" formatCode="#,##0">
                  <c:v>530</c:v>
                </c:pt>
                <c:pt idx="4">
                  <c:v>59</c:v>
                </c:pt>
                <c:pt idx="5">
                  <c:v>11</c:v>
                </c:pt>
                <c:pt idx="6">
                  <c:v>221</c:v>
                </c:pt>
                <c:pt idx="7">
                  <c:v>0</c:v>
                </c:pt>
                <c:pt idx="8">
                  <c:v>124</c:v>
                </c:pt>
                <c:pt idx="9">
                  <c:v>1</c:v>
                </c:pt>
                <c:pt idx="10">
                  <c:v>0</c:v>
                </c:pt>
                <c:pt idx="11">
                  <c:v>0</c:v>
                </c:pt>
                <c:pt idx="12">
                  <c:v>0</c:v>
                </c:pt>
              </c:numCache>
            </c:numRef>
          </c:val>
          <c:extLst>
            <c:ext xmlns:c16="http://schemas.microsoft.com/office/drawing/2014/chart" uri="{C3380CC4-5D6E-409C-BE32-E72D297353CC}">
              <c16:uniqueId val="{00000000-8DA2-429E-9B95-1DB3A2ACCE3B}"/>
            </c:ext>
          </c:extLst>
        </c:ser>
        <c:ser>
          <c:idx val="1"/>
          <c:order val="1"/>
          <c:tx>
            <c:strRef>
              <c:f>'May 12, 2021'!$C$2:$C$3</c:f>
              <c:strCache>
                <c:ptCount val="2"/>
                <c:pt idx="0">
                  <c:v>Total ICU</c:v>
                </c:pt>
                <c:pt idx="1">
                  <c:v>1327</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DA2-429E-9B95-1DB3A2ACCE3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12,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12, 2021'!$C$4:$C$16</c:f>
              <c:numCache>
                <c:formatCode>General</c:formatCode>
                <c:ptCount val="13"/>
                <c:pt idx="0">
                  <c:v>144</c:v>
                </c:pt>
                <c:pt idx="1">
                  <c:v>163</c:v>
                </c:pt>
                <c:pt idx="2">
                  <c:v>776</c:v>
                </c:pt>
                <c:pt idx="3">
                  <c:v>126</c:v>
                </c:pt>
                <c:pt idx="4">
                  <c:v>14</c:v>
                </c:pt>
                <c:pt idx="5">
                  <c:v>4</c:v>
                </c:pt>
                <c:pt idx="6">
                  <c:v>62</c:v>
                </c:pt>
                <c:pt idx="7">
                  <c:v>0</c:v>
                </c:pt>
                <c:pt idx="8">
                  <c:v>38</c:v>
                </c:pt>
                <c:pt idx="9">
                  <c:v>0</c:v>
                </c:pt>
                <c:pt idx="10">
                  <c:v>0</c:v>
                </c:pt>
                <c:pt idx="11">
                  <c:v>0</c:v>
                </c:pt>
                <c:pt idx="12">
                  <c:v>0</c:v>
                </c:pt>
              </c:numCache>
            </c:numRef>
          </c:val>
          <c:extLst>
            <c:ext xmlns:c16="http://schemas.microsoft.com/office/drawing/2014/chart" uri="{C3380CC4-5D6E-409C-BE32-E72D297353CC}">
              <c16:uniqueId val="{00000002-8DA2-429E-9B95-1DB3A2ACCE3B}"/>
            </c:ext>
          </c:extLst>
        </c:ser>
        <c:dLbls>
          <c:dLblPos val="outEnd"/>
          <c:showLegendKey val="0"/>
          <c:showVal val="1"/>
          <c:showCatName val="0"/>
          <c:showSerName val="0"/>
          <c:showPercent val="0"/>
          <c:showBubbleSize val="0"/>
        </c:dLbls>
        <c:gapWidth val="100"/>
        <c:overlap val="-24"/>
        <c:axId val="514282192"/>
        <c:axId val="514270040"/>
      </c:barChart>
      <c:catAx>
        <c:axId val="51428219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70040"/>
        <c:crosses val="autoZero"/>
        <c:auto val="1"/>
        <c:lblAlgn val="ctr"/>
        <c:lblOffset val="100"/>
        <c:noMultiLvlLbl val="0"/>
      </c:catAx>
      <c:valAx>
        <c:axId val="51427004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82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2022-05-20</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'May 20, 2022'!$B$2:$B$3</c:f>
              <c:strCache>
                <c:ptCount val="2"/>
                <c:pt idx="0">
                  <c:v>Total Hospital</c:v>
                </c:pt>
                <c:pt idx="1">
                  <c:v>5064</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20,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20, 2022'!$B$4:$B$16</c:f>
              <c:numCache>
                <c:formatCode>General</c:formatCode>
                <c:ptCount val="13"/>
                <c:pt idx="0">
                  <c:v>540</c:v>
                </c:pt>
                <c:pt idx="1">
                  <c:v>1165</c:v>
                </c:pt>
                <c:pt idx="2" formatCode="0">
                  <c:v>1165</c:v>
                </c:pt>
                <c:pt idx="3" formatCode="#,##0">
                  <c:v>1562</c:v>
                </c:pt>
                <c:pt idx="4">
                  <c:v>43</c:v>
                </c:pt>
                <c:pt idx="5">
                  <c:v>121</c:v>
                </c:pt>
                <c:pt idx="6">
                  <c:v>149</c:v>
                </c:pt>
                <c:pt idx="7">
                  <c:v>22</c:v>
                </c:pt>
                <c:pt idx="8">
                  <c:v>270</c:v>
                </c:pt>
                <c:pt idx="9">
                  <c:v>14</c:v>
                </c:pt>
                <c:pt idx="10">
                  <c:v>8</c:v>
                </c:pt>
                <c:pt idx="11">
                  <c:v>5</c:v>
                </c:pt>
                <c:pt idx="12">
                  <c:v>0</c:v>
                </c:pt>
              </c:numCache>
            </c:numRef>
          </c:val>
          <c:extLst>
            <c:ext xmlns:c16="http://schemas.microsoft.com/office/drawing/2014/chart" uri="{C3380CC4-5D6E-409C-BE32-E72D297353CC}">
              <c16:uniqueId val="{00000000-EDA9-447A-B34A-7F5482B615D8}"/>
            </c:ext>
          </c:extLst>
        </c:ser>
        <c:ser>
          <c:idx val="1"/>
          <c:order val="1"/>
          <c:tx>
            <c:strRef>
              <c:f>'May 20, 2022'!$C$2:$C$3</c:f>
              <c:strCache>
                <c:ptCount val="2"/>
                <c:pt idx="0">
                  <c:v>Total ICU</c:v>
                </c:pt>
                <c:pt idx="1">
                  <c:v>354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20,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20, 2022'!$C$4:$C$16</c:f>
              <c:numCache>
                <c:formatCode>General</c:formatCode>
                <c:ptCount val="13"/>
                <c:pt idx="0">
                  <c:v>49</c:v>
                </c:pt>
                <c:pt idx="1">
                  <c:v>42</c:v>
                </c:pt>
                <c:pt idx="2">
                  <c:v>163</c:v>
                </c:pt>
                <c:pt idx="3">
                  <c:v>53</c:v>
                </c:pt>
                <c:pt idx="4">
                  <c:v>8</c:v>
                </c:pt>
                <c:pt idx="5">
                  <c:v>6</c:v>
                </c:pt>
                <c:pt idx="6">
                  <c:v>16</c:v>
                </c:pt>
                <c:pt idx="7">
                  <c:v>0</c:v>
                </c:pt>
                <c:pt idx="8">
                  <c:v>14</c:v>
                </c:pt>
                <c:pt idx="9">
                  <c:v>2</c:v>
                </c:pt>
                <c:pt idx="10">
                  <c:v>1</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35189088"/>
        <c:axId val="435189480"/>
      </c:barChart>
      <c:catAx>
        <c:axId val="43518908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35189480"/>
        <c:crosses val="autoZero"/>
        <c:auto val="1"/>
        <c:lblAlgn val="ctr"/>
        <c:lblOffset val="100"/>
        <c:noMultiLvlLbl val="0"/>
      </c:catAx>
      <c:valAx>
        <c:axId val="4351894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351890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2021-05-10</a:t>
            </a:r>
          </a:p>
        </c:rich>
      </c:tx>
      <c:layout>
        <c:manualLayout>
          <c:xMode val="edge"/>
          <c:yMode val="edge"/>
          <c:x val="0.1254534078476702"/>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'May 10, 2021'!$B$2:$B$3</c:f>
              <c:strCache>
                <c:ptCount val="2"/>
                <c:pt idx="0">
                  <c:v>Total Hospital</c:v>
                </c:pt>
                <c:pt idx="1">
                  <c:v>3668</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10,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10, 2021'!$B$4:$B$16</c:f>
              <c:numCache>
                <c:formatCode>General</c:formatCode>
                <c:ptCount val="13"/>
                <c:pt idx="0">
                  <c:v>445</c:v>
                </c:pt>
                <c:pt idx="1">
                  <c:v>668</c:v>
                </c:pt>
                <c:pt idx="2" formatCode="0">
                  <c:v>1632</c:v>
                </c:pt>
                <c:pt idx="3" formatCode="#,##0">
                  <c:v>543</c:v>
                </c:pt>
                <c:pt idx="4">
                  <c:v>43</c:v>
                </c:pt>
                <c:pt idx="5">
                  <c:v>10</c:v>
                </c:pt>
                <c:pt idx="6">
                  <c:v>210</c:v>
                </c:pt>
                <c:pt idx="7">
                  <c:v>0</c:v>
                </c:pt>
                <c:pt idx="8">
                  <c:v>116</c:v>
                </c:pt>
                <c:pt idx="9">
                  <c:v>1</c:v>
                </c:pt>
                <c:pt idx="10">
                  <c:v>0</c:v>
                </c:pt>
                <c:pt idx="11">
                  <c:v>0</c:v>
                </c:pt>
                <c:pt idx="12">
                  <c:v>0</c:v>
                </c:pt>
              </c:numCache>
            </c:numRef>
          </c:val>
          <c:extLst>
            <c:ext xmlns:c16="http://schemas.microsoft.com/office/drawing/2014/chart" uri="{C3380CC4-5D6E-409C-BE32-E72D297353CC}">
              <c16:uniqueId val="{00000000-966C-454B-BEB9-644C6D5D84C8}"/>
            </c:ext>
          </c:extLst>
        </c:ser>
        <c:ser>
          <c:idx val="1"/>
          <c:order val="1"/>
          <c:tx>
            <c:strRef>
              <c:f>'May 10, 2021'!$C$2:$C$3</c:f>
              <c:strCache>
                <c:ptCount val="2"/>
                <c:pt idx="0">
                  <c:v>Total ICU</c:v>
                </c:pt>
                <c:pt idx="1">
                  <c:v>1365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66C-454B-BEB9-644C6D5D84C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10,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10, 2021'!$C$4:$C$16</c:f>
              <c:numCache>
                <c:formatCode>General</c:formatCode>
                <c:ptCount val="13"/>
                <c:pt idx="0">
                  <c:v>157</c:v>
                </c:pt>
                <c:pt idx="1">
                  <c:v>155</c:v>
                </c:pt>
                <c:pt idx="2">
                  <c:v>828</c:v>
                </c:pt>
                <c:pt idx="3">
                  <c:v>123</c:v>
                </c:pt>
                <c:pt idx="4">
                  <c:v>7</c:v>
                </c:pt>
                <c:pt idx="5">
                  <c:v>2</c:v>
                </c:pt>
                <c:pt idx="6">
                  <c:v>52</c:v>
                </c:pt>
                <c:pt idx="7">
                  <c:v>0</c:v>
                </c:pt>
                <c:pt idx="8">
                  <c:v>41</c:v>
                </c:pt>
                <c:pt idx="9">
                  <c:v>0</c:v>
                </c:pt>
                <c:pt idx="10">
                  <c:v>0</c:v>
                </c:pt>
                <c:pt idx="11">
                  <c:v>0</c:v>
                </c:pt>
                <c:pt idx="12">
                  <c:v>0</c:v>
                </c:pt>
              </c:numCache>
            </c:numRef>
          </c:val>
          <c:extLst>
            <c:ext xmlns:c16="http://schemas.microsoft.com/office/drawing/2014/chart" uri="{C3380CC4-5D6E-409C-BE32-E72D297353CC}">
              <c16:uniqueId val="{00000002-966C-454B-BEB9-644C6D5D84C8}"/>
            </c:ext>
          </c:extLst>
        </c:ser>
        <c:dLbls>
          <c:dLblPos val="outEnd"/>
          <c:showLegendKey val="0"/>
          <c:showVal val="1"/>
          <c:showCatName val="0"/>
          <c:showSerName val="0"/>
          <c:showPercent val="0"/>
          <c:showBubbleSize val="0"/>
        </c:dLbls>
        <c:gapWidth val="100"/>
        <c:overlap val="-24"/>
        <c:axId val="514271216"/>
        <c:axId val="514280624"/>
      </c:barChart>
      <c:catAx>
        <c:axId val="51427121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80624"/>
        <c:crosses val="autoZero"/>
        <c:auto val="1"/>
        <c:lblAlgn val="ctr"/>
        <c:lblOffset val="100"/>
        <c:noMultiLvlLbl val="0"/>
      </c:catAx>
      <c:valAx>
        <c:axId val="51428062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712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2021-05-07</a:t>
            </a:r>
          </a:p>
        </c:rich>
      </c:tx>
      <c:layout>
        <c:manualLayout>
          <c:xMode val="edge"/>
          <c:yMode val="edge"/>
          <c:x val="0.1254534078476702"/>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'May 7, 2021'!$B$2:$B$3</c:f>
              <c:strCache>
                <c:ptCount val="2"/>
                <c:pt idx="0">
                  <c:v>Total Hospital</c:v>
                </c:pt>
                <c:pt idx="1">
                  <c:v>3969</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7,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7, 2021'!$B$4:$B$16</c:f>
              <c:numCache>
                <c:formatCode>General</c:formatCode>
                <c:ptCount val="13"/>
                <c:pt idx="0">
                  <c:v>457</c:v>
                </c:pt>
                <c:pt idx="1">
                  <c:v>654</c:v>
                </c:pt>
                <c:pt idx="2" formatCode="0">
                  <c:v>1924</c:v>
                </c:pt>
                <c:pt idx="3" formatCode="#,##0">
                  <c:v>575</c:v>
                </c:pt>
                <c:pt idx="4">
                  <c:v>36</c:v>
                </c:pt>
                <c:pt idx="5">
                  <c:v>6</c:v>
                </c:pt>
                <c:pt idx="6">
                  <c:v>185</c:v>
                </c:pt>
                <c:pt idx="7">
                  <c:v>0</c:v>
                </c:pt>
                <c:pt idx="8">
                  <c:v>132</c:v>
                </c:pt>
                <c:pt idx="9">
                  <c:v>0</c:v>
                </c:pt>
                <c:pt idx="10">
                  <c:v>0</c:v>
                </c:pt>
                <c:pt idx="11">
                  <c:v>0</c:v>
                </c:pt>
                <c:pt idx="12">
                  <c:v>0</c:v>
                </c:pt>
              </c:numCache>
            </c:numRef>
          </c:val>
          <c:extLst>
            <c:ext xmlns:c16="http://schemas.microsoft.com/office/drawing/2014/chart" uri="{C3380CC4-5D6E-409C-BE32-E72D297353CC}">
              <c16:uniqueId val="{00000000-27D5-4D03-B8DF-400B12681BF5}"/>
            </c:ext>
          </c:extLst>
        </c:ser>
        <c:ser>
          <c:idx val="1"/>
          <c:order val="1"/>
          <c:tx>
            <c:strRef>
              <c:f>'May 7, 2021'!$C$2:$C$3</c:f>
              <c:strCache>
                <c:ptCount val="2"/>
                <c:pt idx="0">
                  <c:v>Total ICU</c:v>
                </c:pt>
                <c:pt idx="1">
                  <c:v>1331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D5-4D03-B8DF-400B12681BF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7,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7, 2021'!$C$4:$C$16</c:f>
              <c:numCache>
                <c:formatCode>General</c:formatCode>
                <c:ptCount val="13"/>
                <c:pt idx="0">
                  <c:v>154</c:v>
                </c:pt>
                <c:pt idx="1">
                  <c:v>146</c:v>
                </c:pt>
                <c:pt idx="2">
                  <c:v>788</c:v>
                </c:pt>
                <c:pt idx="3">
                  <c:v>139</c:v>
                </c:pt>
                <c:pt idx="4">
                  <c:v>9</c:v>
                </c:pt>
                <c:pt idx="5">
                  <c:v>2</c:v>
                </c:pt>
                <c:pt idx="6">
                  <c:v>52</c:v>
                </c:pt>
                <c:pt idx="7">
                  <c:v>0</c:v>
                </c:pt>
                <c:pt idx="8">
                  <c:v>41</c:v>
                </c:pt>
                <c:pt idx="9">
                  <c:v>0</c:v>
                </c:pt>
                <c:pt idx="10">
                  <c:v>0</c:v>
                </c:pt>
                <c:pt idx="11">
                  <c:v>0</c:v>
                </c:pt>
                <c:pt idx="12">
                  <c:v>0</c:v>
                </c:pt>
              </c:numCache>
            </c:numRef>
          </c:val>
          <c:extLst>
            <c:ext xmlns:c16="http://schemas.microsoft.com/office/drawing/2014/chart" uri="{C3380CC4-5D6E-409C-BE32-E72D297353CC}">
              <c16:uniqueId val="{00000002-27D5-4D03-B8DF-400B12681BF5}"/>
            </c:ext>
          </c:extLst>
        </c:ser>
        <c:dLbls>
          <c:dLblPos val="outEnd"/>
          <c:showLegendKey val="0"/>
          <c:showVal val="1"/>
          <c:showCatName val="0"/>
          <c:showSerName val="0"/>
          <c:showPercent val="0"/>
          <c:showBubbleSize val="0"/>
        </c:dLbls>
        <c:gapWidth val="100"/>
        <c:overlap val="-24"/>
        <c:axId val="514274352"/>
        <c:axId val="514270432"/>
      </c:barChart>
      <c:catAx>
        <c:axId val="51427435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70432"/>
        <c:crosses val="autoZero"/>
        <c:auto val="1"/>
        <c:lblAlgn val="ctr"/>
        <c:lblOffset val="100"/>
        <c:noMultiLvlLbl val="0"/>
      </c:catAx>
      <c:valAx>
        <c:axId val="51427043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74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2021-05-05</a:t>
            </a:r>
          </a:p>
        </c:rich>
      </c:tx>
      <c:layout>
        <c:manualLayout>
          <c:xMode val="edge"/>
          <c:yMode val="edge"/>
          <c:x val="0.1254534078476702"/>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'May 5, 2021'!$B$2:$B$3</c:f>
              <c:strCache>
                <c:ptCount val="2"/>
                <c:pt idx="0">
                  <c:v>Total Hospital</c:v>
                </c:pt>
                <c:pt idx="1">
                  <c:v>4174</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5,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5, 2021'!$B$4:$B$16</c:f>
              <c:numCache>
                <c:formatCode>General</c:formatCode>
                <c:ptCount val="13"/>
                <c:pt idx="0">
                  <c:v>486</c:v>
                </c:pt>
                <c:pt idx="1">
                  <c:v>671</c:v>
                </c:pt>
                <c:pt idx="2" formatCode="0">
                  <c:v>2075</c:v>
                </c:pt>
                <c:pt idx="3" formatCode="#,##0">
                  <c:v>588</c:v>
                </c:pt>
                <c:pt idx="4">
                  <c:v>29</c:v>
                </c:pt>
                <c:pt idx="5">
                  <c:v>6</c:v>
                </c:pt>
                <c:pt idx="6">
                  <c:v>184</c:v>
                </c:pt>
                <c:pt idx="7">
                  <c:v>0</c:v>
                </c:pt>
                <c:pt idx="8">
                  <c:v>133</c:v>
                </c:pt>
                <c:pt idx="9">
                  <c:v>2</c:v>
                </c:pt>
                <c:pt idx="10">
                  <c:v>0</c:v>
                </c:pt>
                <c:pt idx="11">
                  <c:v>0</c:v>
                </c:pt>
                <c:pt idx="12">
                  <c:v>0</c:v>
                </c:pt>
              </c:numCache>
            </c:numRef>
          </c:val>
          <c:extLst>
            <c:ext xmlns:c16="http://schemas.microsoft.com/office/drawing/2014/chart" uri="{C3380CC4-5D6E-409C-BE32-E72D297353CC}">
              <c16:uniqueId val="{00000000-2212-4A65-B77F-220FE87E5998}"/>
            </c:ext>
          </c:extLst>
        </c:ser>
        <c:ser>
          <c:idx val="1"/>
          <c:order val="1"/>
          <c:tx>
            <c:strRef>
              <c:f>'May 5, 2021'!$C$2:$C$3</c:f>
              <c:strCache>
                <c:ptCount val="2"/>
                <c:pt idx="0">
                  <c:v>Total ICU</c:v>
                </c:pt>
                <c:pt idx="1">
                  <c:v>1455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212-4A65-B77F-220FE87E599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5,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5, 2021'!$C$4:$C$16</c:f>
              <c:numCache>
                <c:formatCode>General</c:formatCode>
                <c:ptCount val="13"/>
                <c:pt idx="0">
                  <c:v>173</c:v>
                </c:pt>
                <c:pt idx="1">
                  <c:v>150</c:v>
                </c:pt>
                <c:pt idx="2">
                  <c:v>882</c:v>
                </c:pt>
                <c:pt idx="3">
                  <c:v>152</c:v>
                </c:pt>
                <c:pt idx="4">
                  <c:v>8</c:v>
                </c:pt>
                <c:pt idx="5">
                  <c:v>2</c:v>
                </c:pt>
                <c:pt idx="6">
                  <c:v>47</c:v>
                </c:pt>
                <c:pt idx="7">
                  <c:v>0</c:v>
                </c:pt>
                <c:pt idx="8">
                  <c:v>41</c:v>
                </c:pt>
                <c:pt idx="9">
                  <c:v>0</c:v>
                </c:pt>
                <c:pt idx="10">
                  <c:v>0</c:v>
                </c:pt>
                <c:pt idx="11">
                  <c:v>0</c:v>
                </c:pt>
                <c:pt idx="12">
                  <c:v>0</c:v>
                </c:pt>
              </c:numCache>
            </c:numRef>
          </c:val>
          <c:extLst>
            <c:ext xmlns:c16="http://schemas.microsoft.com/office/drawing/2014/chart" uri="{C3380CC4-5D6E-409C-BE32-E72D297353CC}">
              <c16:uniqueId val="{00000002-2212-4A65-B77F-220FE87E5998}"/>
            </c:ext>
          </c:extLst>
        </c:ser>
        <c:dLbls>
          <c:dLblPos val="outEnd"/>
          <c:showLegendKey val="0"/>
          <c:showVal val="1"/>
          <c:showCatName val="0"/>
          <c:showSerName val="0"/>
          <c:showPercent val="0"/>
          <c:showBubbleSize val="0"/>
        </c:dLbls>
        <c:gapWidth val="100"/>
        <c:overlap val="-24"/>
        <c:axId val="514281408"/>
        <c:axId val="514281016"/>
      </c:barChart>
      <c:catAx>
        <c:axId val="51428140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81016"/>
        <c:crosses val="autoZero"/>
        <c:auto val="1"/>
        <c:lblAlgn val="ctr"/>
        <c:lblOffset val="100"/>
        <c:noMultiLvlLbl val="0"/>
      </c:catAx>
      <c:valAx>
        <c:axId val="51428101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81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2021-05-03</a:t>
            </a:r>
          </a:p>
        </c:rich>
      </c:tx>
      <c:layout>
        <c:manualLayout>
          <c:xMode val="edge"/>
          <c:yMode val="edge"/>
          <c:x val="0.1254534078476702"/>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'May 3, 2021'!$B$2:$B$3</c:f>
              <c:strCache>
                <c:ptCount val="2"/>
                <c:pt idx="0">
                  <c:v>Total Hospital</c:v>
                </c:pt>
                <c:pt idx="1">
                  <c:v>4007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3,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3, 2021'!$B$4:$B$16</c:f>
              <c:numCache>
                <c:formatCode>General</c:formatCode>
                <c:ptCount val="13"/>
                <c:pt idx="0">
                  <c:v>511</c:v>
                </c:pt>
                <c:pt idx="1">
                  <c:v>648</c:v>
                </c:pt>
                <c:pt idx="2" formatCode="0">
                  <c:v>1925</c:v>
                </c:pt>
                <c:pt idx="3" formatCode="#,##0">
                  <c:v>588</c:v>
                </c:pt>
                <c:pt idx="4">
                  <c:v>34</c:v>
                </c:pt>
                <c:pt idx="5">
                  <c:v>4</c:v>
                </c:pt>
                <c:pt idx="6">
                  <c:v>167</c:v>
                </c:pt>
                <c:pt idx="7">
                  <c:v>0</c:v>
                </c:pt>
                <c:pt idx="8">
                  <c:v>128</c:v>
                </c:pt>
                <c:pt idx="9">
                  <c:v>2</c:v>
                </c:pt>
                <c:pt idx="10">
                  <c:v>0</c:v>
                </c:pt>
                <c:pt idx="11">
                  <c:v>0</c:v>
                </c:pt>
                <c:pt idx="12">
                  <c:v>0</c:v>
                </c:pt>
              </c:numCache>
            </c:numRef>
          </c:val>
          <c:extLst>
            <c:ext xmlns:c16="http://schemas.microsoft.com/office/drawing/2014/chart" uri="{C3380CC4-5D6E-409C-BE32-E72D297353CC}">
              <c16:uniqueId val="{00000000-FBE7-473A-8C1D-D83AB51E5A79}"/>
            </c:ext>
          </c:extLst>
        </c:ser>
        <c:ser>
          <c:idx val="1"/>
          <c:order val="1"/>
          <c:tx>
            <c:strRef>
              <c:f>'May 3, 2021'!$C$2:$C$3</c:f>
              <c:strCache>
                <c:ptCount val="2"/>
                <c:pt idx="0">
                  <c:v>Total ICU</c:v>
                </c:pt>
                <c:pt idx="1">
                  <c:v>1456</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BE7-473A-8C1D-D83AB51E5A7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3,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3, 2021'!$C$4:$C$16</c:f>
              <c:numCache>
                <c:formatCode>General</c:formatCode>
                <c:ptCount val="13"/>
                <c:pt idx="0">
                  <c:v>174</c:v>
                </c:pt>
                <c:pt idx="1">
                  <c:v>155</c:v>
                </c:pt>
                <c:pt idx="2">
                  <c:v>889</c:v>
                </c:pt>
                <c:pt idx="3">
                  <c:v>151</c:v>
                </c:pt>
                <c:pt idx="4">
                  <c:v>6</c:v>
                </c:pt>
                <c:pt idx="5">
                  <c:v>2</c:v>
                </c:pt>
                <c:pt idx="6">
                  <c:v>40</c:v>
                </c:pt>
                <c:pt idx="7">
                  <c:v>0</c:v>
                </c:pt>
                <c:pt idx="8">
                  <c:v>39</c:v>
                </c:pt>
                <c:pt idx="9">
                  <c:v>0</c:v>
                </c:pt>
                <c:pt idx="10">
                  <c:v>0</c:v>
                </c:pt>
                <c:pt idx="11">
                  <c:v>0</c:v>
                </c:pt>
                <c:pt idx="12">
                  <c:v>0</c:v>
                </c:pt>
              </c:numCache>
            </c:numRef>
          </c:val>
          <c:extLst>
            <c:ext xmlns:c16="http://schemas.microsoft.com/office/drawing/2014/chart" uri="{C3380CC4-5D6E-409C-BE32-E72D297353CC}">
              <c16:uniqueId val="{00000002-FBE7-473A-8C1D-D83AB51E5A79}"/>
            </c:ext>
          </c:extLst>
        </c:ser>
        <c:dLbls>
          <c:dLblPos val="outEnd"/>
          <c:showLegendKey val="0"/>
          <c:showVal val="1"/>
          <c:showCatName val="0"/>
          <c:showSerName val="0"/>
          <c:showPercent val="0"/>
          <c:showBubbleSize val="0"/>
        </c:dLbls>
        <c:gapWidth val="100"/>
        <c:overlap val="-24"/>
        <c:axId val="514275136"/>
        <c:axId val="514279448"/>
      </c:barChart>
      <c:catAx>
        <c:axId val="51427513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79448"/>
        <c:crosses val="autoZero"/>
        <c:auto val="1"/>
        <c:lblAlgn val="ctr"/>
        <c:lblOffset val="100"/>
        <c:noMultiLvlLbl val="0"/>
      </c:catAx>
      <c:valAx>
        <c:axId val="51427944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75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2021-04-30</a:t>
            </a:r>
          </a:p>
        </c:rich>
      </c:tx>
      <c:layout>
        <c:manualLayout>
          <c:xMode val="edge"/>
          <c:yMode val="edge"/>
          <c:x val="0.1254534078476702"/>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'April 30, 2021'!$B$2:$B$3</c:f>
              <c:strCache>
                <c:ptCount val="2"/>
                <c:pt idx="0">
                  <c:v>Total Hospital</c:v>
                </c:pt>
                <c:pt idx="1">
                  <c:v>4265</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30,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30, 2021'!$B$4:$B$16</c:f>
              <c:numCache>
                <c:formatCode>General</c:formatCode>
                <c:ptCount val="13"/>
                <c:pt idx="0">
                  <c:v>503</c:v>
                </c:pt>
                <c:pt idx="1">
                  <c:v>632</c:v>
                </c:pt>
                <c:pt idx="2" formatCode="0">
                  <c:v>2201</c:v>
                </c:pt>
                <c:pt idx="3" formatCode="#,##0">
                  <c:v>623</c:v>
                </c:pt>
                <c:pt idx="4">
                  <c:v>10</c:v>
                </c:pt>
                <c:pt idx="5">
                  <c:v>4</c:v>
                </c:pt>
                <c:pt idx="6">
                  <c:v>142</c:v>
                </c:pt>
                <c:pt idx="7">
                  <c:v>0</c:v>
                </c:pt>
                <c:pt idx="8">
                  <c:v>148</c:v>
                </c:pt>
                <c:pt idx="9">
                  <c:v>2</c:v>
                </c:pt>
                <c:pt idx="10">
                  <c:v>0</c:v>
                </c:pt>
                <c:pt idx="11">
                  <c:v>0</c:v>
                </c:pt>
                <c:pt idx="12">
                  <c:v>0</c:v>
                </c:pt>
              </c:numCache>
            </c:numRef>
          </c:val>
          <c:extLst>
            <c:ext xmlns:c16="http://schemas.microsoft.com/office/drawing/2014/chart" uri="{C3380CC4-5D6E-409C-BE32-E72D297353CC}">
              <c16:uniqueId val="{00000000-4774-446D-B939-00E20CE889A6}"/>
            </c:ext>
          </c:extLst>
        </c:ser>
        <c:ser>
          <c:idx val="1"/>
          <c:order val="1"/>
          <c:tx>
            <c:strRef>
              <c:f>'April 30, 2021'!$C$2:$C$3</c:f>
              <c:strCache>
                <c:ptCount val="2"/>
                <c:pt idx="0">
                  <c:v>Total ICU</c:v>
                </c:pt>
                <c:pt idx="1">
                  <c:v>1462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774-446D-B939-00E20CE889A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30,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30, 2021'!$C$4:$C$16</c:f>
              <c:numCache>
                <c:formatCode>General</c:formatCode>
                <c:ptCount val="13"/>
                <c:pt idx="0">
                  <c:v>178</c:v>
                </c:pt>
                <c:pt idx="1">
                  <c:v>151</c:v>
                </c:pt>
                <c:pt idx="2">
                  <c:v>883</c:v>
                </c:pt>
                <c:pt idx="3">
                  <c:v>165</c:v>
                </c:pt>
                <c:pt idx="4">
                  <c:v>4</c:v>
                </c:pt>
                <c:pt idx="5">
                  <c:v>2</c:v>
                </c:pt>
                <c:pt idx="6">
                  <c:v>41</c:v>
                </c:pt>
                <c:pt idx="7">
                  <c:v>0</c:v>
                </c:pt>
                <c:pt idx="8">
                  <c:v>38</c:v>
                </c:pt>
                <c:pt idx="9">
                  <c:v>0</c:v>
                </c:pt>
                <c:pt idx="10">
                  <c:v>0</c:v>
                </c:pt>
                <c:pt idx="11">
                  <c:v>0</c:v>
                </c:pt>
                <c:pt idx="12">
                  <c:v>0</c:v>
                </c:pt>
              </c:numCache>
            </c:numRef>
          </c:val>
          <c:extLst>
            <c:ext xmlns:c16="http://schemas.microsoft.com/office/drawing/2014/chart" uri="{C3380CC4-5D6E-409C-BE32-E72D297353CC}">
              <c16:uniqueId val="{00000002-4774-446D-B939-00E20CE889A6}"/>
            </c:ext>
          </c:extLst>
        </c:ser>
        <c:dLbls>
          <c:dLblPos val="outEnd"/>
          <c:showLegendKey val="0"/>
          <c:showVal val="1"/>
          <c:showCatName val="0"/>
          <c:showSerName val="0"/>
          <c:showPercent val="0"/>
          <c:showBubbleSize val="0"/>
        </c:dLbls>
        <c:gapWidth val="100"/>
        <c:overlap val="-24"/>
        <c:axId val="514272000"/>
        <c:axId val="514273960"/>
      </c:barChart>
      <c:catAx>
        <c:axId val="51427200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73960"/>
        <c:crosses val="autoZero"/>
        <c:auto val="1"/>
        <c:lblAlgn val="ctr"/>
        <c:lblOffset val="100"/>
        <c:noMultiLvlLbl val="0"/>
      </c:catAx>
      <c:valAx>
        <c:axId val="51427396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72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2021-04-28</a:t>
            </a:r>
          </a:p>
        </c:rich>
      </c:tx>
      <c:layout>
        <c:manualLayout>
          <c:xMode val="edge"/>
          <c:yMode val="edge"/>
          <c:x val="0.1254534078476702"/>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'April 28, 2021'!$B$2:$B$3</c:f>
              <c:strCache>
                <c:ptCount val="2"/>
                <c:pt idx="0">
                  <c:v>Total Hospital</c:v>
                </c:pt>
                <c:pt idx="1">
                  <c:v>4352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28,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28, 2021'!$B$4:$B$16</c:f>
              <c:numCache>
                <c:formatCode>General</c:formatCode>
                <c:ptCount val="13"/>
                <c:pt idx="0">
                  <c:v>500</c:v>
                </c:pt>
                <c:pt idx="1">
                  <c:v>635</c:v>
                </c:pt>
                <c:pt idx="2" formatCode="0">
                  <c:v>2281</c:v>
                </c:pt>
                <c:pt idx="3" formatCode="#,##0">
                  <c:v>643</c:v>
                </c:pt>
                <c:pt idx="4">
                  <c:v>8</c:v>
                </c:pt>
                <c:pt idx="5">
                  <c:v>6</c:v>
                </c:pt>
                <c:pt idx="6">
                  <c:v>134</c:v>
                </c:pt>
                <c:pt idx="7">
                  <c:v>0</c:v>
                </c:pt>
                <c:pt idx="8">
                  <c:v>144</c:v>
                </c:pt>
                <c:pt idx="9">
                  <c:v>1</c:v>
                </c:pt>
                <c:pt idx="10">
                  <c:v>0</c:v>
                </c:pt>
                <c:pt idx="11">
                  <c:v>0</c:v>
                </c:pt>
                <c:pt idx="12">
                  <c:v>0</c:v>
                </c:pt>
              </c:numCache>
            </c:numRef>
          </c:val>
          <c:extLst>
            <c:ext xmlns:c16="http://schemas.microsoft.com/office/drawing/2014/chart" uri="{C3380CC4-5D6E-409C-BE32-E72D297353CC}">
              <c16:uniqueId val="{00000000-0C7B-4732-AFD5-D45848AE9D3C}"/>
            </c:ext>
          </c:extLst>
        </c:ser>
        <c:ser>
          <c:idx val="1"/>
          <c:order val="1"/>
          <c:tx>
            <c:strRef>
              <c:f>'April 28, 2021'!$C$2:$C$3</c:f>
              <c:strCache>
                <c:ptCount val="2"/>
                <c:pt idx="0">
                  <c:v>Total ICU</c:v>
                </c:pt>
                <c:pt idx="1">
                  <c:v>1422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7B-4732-AFD5-D45848AE9D3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28,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28, 2021'!$C$4:$C$16</c:f>
              <c:numCache>
                <c:formatCode>General</c:formatCode>
                <c:ptCount val="13"/>
                <c:pt idx="0">
                  <c:v>164</c:v>
                </c:pt>
                <c:pt idx="1">
                  <c:v>143</c:v>
                </c:pt>
                <c:pt idx="2">
                  <c:v>877</c:v>
                </c:pt>
                <c:pt idx="3">
                  <c:v>161</c:v>
                </c:pt>
                <c:pt idx="4">
                  <c:v>3</c:v>
                </c:pt>
                <c:pt idx="5">
                  <c:v>2</c:v>
                </c:pt>
                <c:pt idx="6">
                  <c:v>30</c:v>
                </c:pt>
                <c:pt idx="7">
                  <c:v>0</c:v>
                </c:pt>
                <c:pt idx="8">
                  <c:v>42</c:v>
                </c:pt>
                <c:pt idx="9">
                  <c:v>0</c:v>
                </c:pt>
                <c:pt idx="10">
                  <c:v>0</c:v>
                </c:pt>
                <c:pt idx="11">
                  <c:v>0</c:v>
                </c:pt>
                <c:pt idx="12">
                  <c:v>0</c:v>
                </c:pt>
              </c:numCache>
            </c:numRef>
          </c:val>
          <c:extLst>
            <c:ext xmlns:c16="http://schemas.microsoft.com/office/drawing/2014/chart" uri="{C3380CC4-5D6E-409C-BE32-E72D297353CC}">
              <c16:uniqueId val="{00000002-0C7B-4732-AFD5-D45848AE9D3C}"/>
            </c:ext>
          </c:extLst>
        </c:ser>
        <c:dLbls>
          <c:dLblPos val="outEnd"/>
          <c:showLegendKey val="0"/>
          <c:showVal val="1"/>
          <c:showCatName val="0"/>
          <c:showSerName val="0"/>
          <c:showPercent val="0"/>
          <c:showBubbleSize val="0"/>
        </c:dLbls>
        <c:gapWidth val="100"/>
        <c:overlap val="-24"/>
        <c:axId val="514275528"/>
        <c:axId val="514270824"/>
      </c:barChart>
      <c:catAx>
        <c:axId val="51427552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70824"/>
        <c:crosses val="autoZero"/>
        <c:auto val="1"/>
        <c:lblAlgn val="ctr"/>
        <c:lblOffset val="100"/>
        <c:noMultiLvlLbl val="0"/>
      </c:catAx>
      <c:valAx>
        <c:axId val="51427082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75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2021-04-26</a:t>
            </a:r>
          </a:p>
        </c:rich>
      </c:tx>
      <c:layout>
        <c:manualLayout>
          <c:xMode val="edge"/>
          <c:yMode val="edge"/>
          <c:x val="0.1254534078476702"/>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'April 26, 2021'!$B$2:$B$3</c:f>
              <c:strCache>
                <c:ptCount val="2"/>
                <c:pt idx="0">
                  <c:v>Total Hospital</c:v>
                </c:pt>
                <c:pt idx="1">
                  <c:v>4312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26,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26, 2021'!$B$4:$B$16</c:f>
              <c:numCache>
                <c:formatCode>General</c:formatCode>
                <c:ptCount val="13"/>
                <c:pt idx="0">
                  <c:v>486</c:v>
                </c:pt>
                <c:pt idx="1">
                  <c:v>594</c:v>
                </c:pt>
                <c:pt idx="2" formatCode="0">
                  <c:v>2271</c:v>
                </c:pt>
                <c:pt idx="3" formatCode="#,##0">
                  <c:v>664</c:v>
                </c:pt>
                <c:pt idx="4">
                  <c:v>3</c:v>
                </c:pt>
                <c:pt idx="5">
                  <c:v>8</c:v>
                </c:pt>
                <c:pt idx="6">
                  <c:v>148</c:v>
                </c:pt>
                <c:pt idx="7">
                  <c:v>0</c:v>
                </c:pt>
                <c:pt idx="8">
                  <c:v>137</c:v>
                </c:pt>
                <c:pt idx="9">
                  <c:v>1</c:v>
                </c:pt>
                <c:pt idx="10">
                  <c:v>0</c:v>
                </c:pt>
                <c:pt idx="11">
                  <c:v>0</c:v>
                </c:pt>
                <c:pt idx="12">
                  <c:v>0</c:v>
                </c:pt>
              </c:numCache>
            </c:numRef>
          </c:val>
          <c:extLst>
            <c:ext xmlns:c16="http://schemas.microsoft.com/office/drawing/2014/chart" uri="{C3380CC4-5D6E-409C-BE32-E72D297353CC}">
              <c16:uniqueId val="{00000000-C403-4665-B4F2-279A5EC6FB6C}"/>
            </c:ext>
          </c:extLst>
        </c:ser>
        <c:ser>
          <c:idx val="1"/>
          <c:order val="1"/>
          <c:tx>
            <c:strRef>
              <c:f>'April 26, 2021'!$C$2:$C$3</c:f>
              <c:strCache>
                <c:ptCount val="2"/>
                <c:pt idx="0">
                  <c:v>Total ICU</c:v>
                </c:pt>
                <c:pt idx="1">
                  <c:v>1435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03-4665-B4F2-279A5EC6FB6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26,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26, 2021'!$C$4:$C$16</c:f>
              <c:numCache>
                <c:formatCode>General</c:formatCode>
                <c:ptCount val="13"/>
                <c:pt idx="0">
                  <c:v>160</c:v>
                </c:pt>
                <c:pt idx="1">
                  <c:v>140</c:v>
                </c:pt>
                <c:pt idx="2">
                  <c:v>877</c:v>
                </c:pt>
                <c:pt idx="3">
                  <c:v>167</c:v>
                </c:pt>
                <c:pt idx="4">
                  <c:v>2</c:v>
                </c:pt>
                <c:pt idx="5">
                  <c:v>3</c:v>
                </c:pt>
                <c:pt idx="6">
                  <c:v>37</c:v>
                </c:pt>
                <c:pt idx="7">
                  <c:v>0</c:v>
                </c:pt>
                <c:pt idx="8">
                  <c:v>49</c:v>
                </c:pt>
                <c:pt idx="9">
                  <c:v>0</c:v>
                </c:pt>
                <c:pt idx="10">
                  <c:v>0</c:v>
                </c:pt>
                <c:pt idx="11">
                  <c:v>0</c:v>
                </c:pt>
                <c:pt idx="12">
                  <c:v>0</c:v>
                </c:pt>
              </c:numCache>
            </c:numRef>
          </c:val>
          <c:extLst>
            <c:ext xmlns:c16="http://schemas.microsoft.com/office/drawing/2014/chart" uri="{C3380CC4-5D6E-409C-BE32-E72D297353CC}">
              <c16:uniqueId val="{00000002-C403-4665-B4F2-279A5EC6FB6C}"/>
            </c:ext>
          </c:extLst>
        </c:ser>
        <c:dLbls>
          <c:dLblPos val="outEnd"/>
          <c:showLegendKey val="0"/>
          <c:showVal val="1"/>
          <c:showCatName val="0"/>
          <c:showSerName val="0"/>
          <c:showPercent val="0"/>
          <c:showBubbleSize val="0"/>
        </c:dLbls>
        <c:gapWidth val="100"/>
        <c:overlap val="-24"/>
        <c:axId val="514272392"/>
        <c:axId val="514272784"/>
      </c:barChart>
      <c:catAx>
        <c:axId val="51427239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72784"/>
        <c:crosses val="autoZero"/>
        <c:auto val="1"/>
        <c:lblAlgn val="ctr"/>
        <c:lblOffset val="100"/>
        <c:noMultiLvlLbl val="0"/>
      </c:catAx>
      <c:valAx>
        <c:axId val="51427278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72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2021-04-23</a:t>
            </a:r>
          </a:p>
        </c:rich>
      </c:tx>
      <c:layout>
        <c:manualLayout>
          <c:xMode val="edge"/>
          <c:yMode val="edge"/>
          <c:x val="0.1254534078476702"/>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'April 23, 2021'!$B$2:$B$3</c:f>
              <c:strCache>
                <c:ptCount val="2"/>
                <c:pt idx="0">
                  <c:v>Total Hospital</c:v>
                </c:pt>
                <c:pt idx="1">
                  <c:v>4283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23,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23, 2021'!$B$4:$B$16</c:f>
              <c:numCache>
                <c:formatCode>General</c:formatCode>
                <c:ptCount val="13"/>
                <c:pt idx="0">
                  <c:v>502</c:v>
                </c:pt>
                <c:pt idx="1">
                  <c:v>518</c:v>
                </c:pt>
                <c:pt idx="2" formatCode="0">
                  <c:v>2287</c:v>
                </c:pt>
                <c:pt idx="3" formatCode="#,##0">
                  <c:v>684</c:v>
                </c:pt>
                <c:pt idx="4">
                  <c:v>3</c:v>
                </c:pt>
                <c:pt idx="5">
                  <c:v>15</c:v>
                </c:pt>
                <c:pt idx="6">
                  <c:v>145</c:v>
                </c:pt>
                <c:pt idx="7">
                  <c:v>0</c:v>
                </c:pt>
                <c:pt idx="8">
                  <c:v>129</c:v>
                </c:pt>
                <c:pt idx="9">
                  <c:v>0</c:v>
                </c:pt>
                <c:pt idx="10">
                  <c:v>0</c:v>
                </c:pt>
                <c:pt idx="11">
                  <c:v>0</c:v>
                </c:pt>
                <c:pt idx="12">
                  <c:v>0</c:v>
                </c:pt>
              </c:numCache>
            </c:numRef>
          </c:val>
          <c:extLst>
            <c:ext xmlns:c16="http://schemas.microsoft.com/office/drawing/2014/chart" uri="{C3380CC4-5D6E-409C-BE32-E72D297353CC}">
              <c16:uniqueId val="{00000000-2F3E-4260-8380-59E06E1070E4}"/>
            </c:ext>
          </c:extLst>
        </c:ser>
        <c:ser>
          <c:idx val="1"/>
          <c:order val="1"/>
          <c:tx>
            <c:strRef>
              <c:f>'April 23, 2021'!$C$2:$C$3</c:f>
              <c:strCache>
                <c:ptCount val="2"/>
                <c:pt idx="0">
                  <c:v>Total ICU</c:v>
                </c:pt>
                <c:pt idx="1">
                  <c:v>1355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F3E-4260-8380-59E06E1070E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23,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23, 2021'!$C$4:$C$16</c:f>
              <c:numCache>
                <c:formatCode>General</c:formatCode>
                <c:ptCount val="13"/>
                <c:pt idx="0">
                  <c:v>161</c:v>
                </c:pt>
                <c:pt idx="1">
                  <c:v>116</c:v>
                </c:pt>
                <c:pt idx="2">
                  <c:v>818</c:v>
                </c:pt>
                <c:pt idx="3">
                  <c:v>172</c:v>
                </c:pt>
                <c:pt idx="4">
                  <c:v>0</c:v>
                </c:pt>
                <c:pt idx="5">
                  <c:v>5</c:v>
                </c:pt>
                <c:pt idx="6">
                  <c:v>35</c:v>
                </c:pt>
                <c:pt idx="7">
                  <c:v>0</c:v>
                </c:pt>
                <c:pt idx="8">
                  <c:v>48</c:v>
                </c:pt>
                <c:pt idx="9">
                  <c:v>0</c:v>
                </c:pt>
                <c:pt idx="10">
                  <c:v>0</c:v>
                </c:pt>
                <c:pt idx="11">
                  <c:v>0</c:v>
                </c:pt>
                <c:pt idx="12">
                  <c:v>0</c:v>
                </c:pt>
              </c:numCache>
            </c:numRef>
          </c:val>
          <c:extLst>
            <c:ext xmlns:c16="http://schemas.microsoft.com/office/drawing/2014/chart" uri="{C3380CC4-5D6E-409C-BE32-E72D297353CC}">
              <c16:uniqueId val="{00000002-2F3E-4260-8380-59E06E1070E4}"/>
            </c:ext>
          </c:extLst>
        </c:ser>
        <c:dLbls>
          <c:dLblPos val="outEnd"/>
          <c:showLegendKey val="0"/>
          <c:showVal val="1"/>
          <c:showCatName val="0"/>
          <c:showSerName val="0"/>
          <c:showPercent val="0"/>
          <c:showBubbleSize val="0"/>
        </c:dLbls>
        <c:gapWidth val="100"/>
        <c:overlap val="-24"/>
        <c:axId val="514273568"/>
        <c:axId val="514275920"/>
      </c:barChart>
      <c:catAx>
        <c:axId val="5142735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75920"/>
        <c:crosses val="autoZero"/>
        <c:auto val="1"/>
        <c:lblAlgn val="ctr"/>
        <c:lblOffset val="100"/>
        <c:noMultiLvlLbl val="0"/>
      </c:catAx>
      <c:valAx>
        <c:axId val="51427592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73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2021-04-21</a:t>
            </a:r>
          </a:p>
        </c:rich>
      </c:tx>
      <c:layout>
        <c:manualLayout>
          <c:xMode val="edge"/>
          <c:yMode val="edge"/>
          <c:x val="0.1254534078476702"/>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'April 21, 2021'!$B$2:$B$3</c:f>
              <c:strCache>
                <c:ptCount val="2"/>
                <c:pt idx="0">
                  <c:v>Total Hospital</c:v>
                </c:pt>
                <c:pt idx="1">
                  <c:v>4260</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21,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21, 2021'!$B$4:$B$16</c:f>
              <c:numCache>
                <c:formatCode>General</c:formatCode>
                <c:ptCount val="13"/>
                <c:pt idx="0">
                  <c:v>456</c:v>
                </c:pt>
                <c:pt idx="1">
                  <c:v>476</c:v>
                </c:pt>
                <c:pt idx="2" formatCode="0">
                  <c:v>2335</c:v>
                </c:pt>
                <c:pt idx="3" formatCode="#,##0">
                  <c:v>694</c:v>
                </c:pt>
                <c:pt idx="4">
                  <c:v>2</c:v>
                </c:pt>
                <c:pt idx="5">
                  <c:v>21</c:v>
                </c:pt>
                <c:pt idx="6">
                  <c:v>132</c:v>
                </c:pt>
                <c:pt idx="7">
                  <c:v>0</c:v>
                </c:pt>
                <c:pt idx="8">
                  <c:v>144</c:v>
                </c:pt>
                <c:pt idx="9">
                  <c:v>0</c:v>
                </c:pt>
                <c:pt idx="10">
                  <c:v>0</c:v>
                </c:pt>
                <c:pt idx="11">
                  <c:v>0</c:v>
                </c:pt>
                <c:pt idx="12">
                  <c:v>0</c:v>
                </c:pt>
              </c:numCache>
            </c:numRef>
          </c:val>
          <c:extLst>
            <c:ext xmlns:c16="http://schemas.microsoft.com/office/drawing/2014/chart" uri="{C3380CC4-5D6E-409C-BE32-E72D297353CC}">
              <c16:uniqueId val="{00000000-3546-4102-A19F-0613D4CEFCDB}"/>
            </c:ext>
          </c:extLst>
        </c:ser>
        <c:ser>
          <c:idx val="1"/>
          <c:order val="1"/>
          <c:tx>
            <c:strRef>
              <c:f>'April 21, 2021'!$C$2:$C$3</c:f>
              <c:strCache>
                <c:ptCount val="2"/>
                <c:pt idx="0">
                  <c:v>Total ICU</c:v>
                </c:pt>
                <c:pt idx="1">
                  <c:v>1312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46-4102-A19F-0613D4CEFCD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21,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21, 2021'!$C$4:$C$16</c:f>
              <c:numCache>
                <c:formatCode>General</c:formatCode>
                <c:ptCount val="13"/>
                <c:pt idx="0">
                  <c:v>148</c:v>
                </c:pt>
                <c:pt idx="1">
                  <c:v>105</c:v>
                </c:pt>
                <c:pt idx="2">
                  <c:v>790</c:v>
                </c:pt>
                <c:pt idx="3">
                  <c:v>177</c:v>
                </c:pt>
                <c:pt idx="4">
                  <c:v>0</c:v>
                </c:pt>
                <c:pt idx="5">
                  <c:v>8</c:v>
                </c:pt>
                <c:pt idx="6">
                  <c:v>33</c:v>
                </c:pt>
                <c:pt idx="7">
                  <c:v>0</c:v>
                </c:pt>
                <c:pt idx="8">
                  <c:v>51</c:v>
                </c:pt>
                <c:pt idx="9">
                  <c:v>0</c:v>
                </c:pt>
                <c:pt idx="10">
                  <c:v>0</c:v>
                </c:pt>
                <c:pt idx="11">
                  <c:v>0</c:v>
                </c:pt>
                <c:pt idx="12">
                  <c:v>0</c:v>
                </c:pt>
              </c:numCache>
            </c:numRef>
          </c:val>
          <c:extLst>
            <c:ext xmlns:c16="http://schemas.microsoft.com/office/drawing/2014/chart" uri="{C3380CC4-5D6E-409C-BE32-E72D297353CC}">
              <c16:uniqueId val="{00000002-3546-4102-A19F-0613D4CEFCDB}"/>
            </c:ext>
          </c:extLst>
        </c:ser>
        <c:dLbls>
          <c:dLblPos val="outEnd"/>
          <c:showLegendKey val="0"/>
          <c:showVal val="1"/>
          <c:showCatName val="0"/>
          <c:showSerName val="0"/>
          <c:showPercent val="0"/>
          <c:showBubbleSize val="0"/>
        </c:dLbls>
        <c:gapWidth val="100"/>
        <c:overlap val="-24"/>
        <c:axId val="514276704"/>
        <c:axId val="514277096"/>
      </c:barChart>
      <c:catAx>
        <c:axId val="51427670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77096"/>
        <c:crosses val="autoZero"/>
        <c:auto val="1"/>
        <c:lblAlgn val="ctr"/>
        <c:lblOffset val="100"/>
        <c:noMultiLvlLbl val="0"/>
      </c:catAx>
      <c:valAx>
        <c:axId val="51427709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76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2021-04-19</a:t>
            </a:r>
          </a:p>
        </c:rich>
      </c:tx>
      <c:layout>
        <c:manualLayout>
          <c:xMode val="edge"/>
          <c:yMode val="edge"/>
          <c:x val="0.1254534078476702"/>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'April 19, 2021'!$B$2:$B$3</c:f>
              <c:strCache>
                <c:ptCount val="2"/>
                <c:pt idx="0">
                  <c:v>Total Hospital</c:v>
                </c:pt>
                <c:pt idx="1">
                  <c:v>4062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19,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19, 2021'!$B$4:$B$16</c:f>
              <c:numCache>
                <c:formatCode>General</c:formatCode>
                <c:ptCount val="13"/>
                <c:pt idx="0">
                  <c:v>425</c:v>
                </c:pt>
                <c:pt idx="1">
                  <c:v>451</c:v>
                </c:pt>
                <c:pt idx="2" formatCode="0">
                  <c:v>2202</c:v>
                </c:pt>
                <c:pt idx="3" formatCode="#,##0">
                  <c:v>686</c:v>
                </c:pt>
                <c:pt idx="4">
                  <c:v>2</c:v>
                </c:pt>
                <c:pt idx="5">
                  <c:v>20</c:v>
                </c:pt>
                <c:pt idx="6">
                  <c:v>132</c:v>
                </c:pt>
                <c:pt idx="7">
                  <c:v>0</c:v>
                </c:pt>
                <c:pt idx="8">
                  <c:v>144</c:v>
                </c:pt>
                <c:pt idx="9">
                  <c:v>0</c:v>
                </c:pt>
                <c:pt idx="10">
                  <c:v>0</c:v>
                </c:pt>
                <c:pt idx="11">
                  <c:v>0</c:v>
                </c:pt>
                <c:pt idx="12">
                  <c:v>0</c:v>
                </c:pt>
              </c:numCache>
            </c:numRef>
          </c:val>
          <c:extLst>
            <c:ext xmlns:c16="http://schemas.microsoft.com/office/drawing/2014/chart" uri="{C3380CC4-5D6E-409C-BE32-E72D297353CC}">
              <c16:uniqueId val="{00000000-5D74-4361-ACB2-1ACF6B513915}"/>
            </c:ext>
          </c:extLst>
        </c:ser>
        <c:ser>
          <c:idx val="1"/>
          <c:order val="1"/>
          <c:tx>
            <c:strRef>
              <c:f>'April 19, 2021'!$C$2:$C$3</c:f>
              <c:strCache>
                <c:ptCount val="2"/>
                <c:pt idx="0">
                  <c:v>Total ICU</c:v>
                </c:pt>
                <c:pt idx="1">
                  <c:v>1258</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D74-4361-ACB2-1ACF6B51391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19,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19, 2021'!$C$4:$C$16</c:f>
              <c:numCache>
                <c:formatCode>General</c:formatCode>
                <c:ptCount val="13"/>
                <c:pt idx="0">
                  <c:v>127</c:v>
                </c:pt>
                <c:pt idx="1">
                  <c:v>103</c:v>
                </c:pt>
                <c:pt idx="2">
                  <c:v>755</c:v>
                </c:pt>
                <c:pt idx="3">
                  <c:v>183</c:v>
                </c:pt>
                <c:pt idx="4">
                  <c:v>0</c:v>
                </c:pt>
                <c:pt idx="5">
                  <c:v>12</c:v>
                </c:pt>
                <c:pt idx="6">
                  <c:v>33</c:v>
                </c:pt>
                <c:pt idx="7">
                  <c:v>0</c:v>
                </c:pt>
                <c:pt idx="8">
                  <c:v>45</c:v>
                </c:pt>
                <c:pt idx="9">
                  <c:v>0</c:v>
                </c:pt>
                <c:pt idx="10">
                  <c:v>0</c:v>
                </c:pt>
                <c:pt idx="11">
                  <c:v>0</c:v>
                </c:pt>
                <c:pt idx="12">
                  <c:v>0</c:v>
                </c:pt>
              </c:numCache>
            </c:numRef>
          </c:val>
          <c:extLst>
            <c:ext xmlns:c16="http://schemas.microsoft.com/office/drawing/2014/chart" uri="{C3380CC4-5D6E-409C-BE32-E72D297353CC}">
              <c16:uniqueId val="{00000002-5D74-4361-ACB2-1ACF6B513915}"/>
            </c:ext>
          </c:extLst>
        </c:ser>
        <c:dLbls>
          <c:dLblPos val="outEnd"/>
          <c:showLegendKey val="0"/>
          <c:showVal val="1"/>
          <c:showCatName val="0"/>
          <c:showSerName val="0"/>
          <c:showPercent val="0"/>
          <c:showBubbleSize val="0"/>
        </c:dLbls>
        <c:gapWidth val="100"/>
        <c:overlap val="-24"/>
        <c:axId val="514277880"/>
        <c:axId val="514292384"/>
      </c:barChart>
      <c:catAx>
        <c:axId val="51427788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92384"/>
        <c:crosses val="autoZero"/>
        <c:auto val="1"/>
        <c:lblAlgn val="ctr"/>
        <c:lblOffset val="100"/>
        <c:noMultiLvlLbl val="0"/>
      </c:catAx>
      <c:valAx>
        <c:axId val="51429238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77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2022-05-13</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'May 13, 2022'!$B$2:$B$3</c:f>
              <c:strCache>
                <c:ptCount val="2"/>
                <c:pt idx="0">
                  <c:v>Total Hospital</c:v>
                </c:pt>
                <c:pt idx="1">
                  <c:v>5739</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13,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13, 2022'!$B$4:$B$16</c:f>
              <c:numCache>
                <c:formatCode>General</c:formatCode>
                <c:ptCount val="13"/>
                <c:pt idx="0">
                  <c:v>596</c:v>
                </c:pt>
                <c:pt idx="1">
                  <c:v>1225</c:v>
                </c:pt>
                <c:pt idx="2" formatCode="0">
                  <c:v>1453</c:v>
                </c:pt>
                <c:pt idx="3" formatCode="#,##0">
                  <c:v>1754</c:v>
                </c:pt>
                <c:pt idx="4">
                  <c:v>58</c:v>
                </c:pt>
                <c:pt idx="5">
                  <c:v>102</c:v>
                </c:pt>
                <c:pt idx="6">
                  <c:v>196</c:v>
                </c:pt>
                <c:pt idx="7">
                  <c:v>12</c:v>
                </c:pt>
                <c:pt idx="8">
                  <c:v>321</c:v>
                </c:pt>
                <c:pt idx="9">
                  <c:v>8</c:v>
                </c:pt>
                <c:pt idx="10">
                  <c:v>8</c:v>
                </c:pt>
                <c:pt idx="11">
                  <c:v>6</c:v>
                </c:pt>
                <c:pt idx="12">
                  <c:v>0</c:v>
                </c:pt>
              </c:numCache>
            </c:numRef>
          </c:val>
          <c:extLst>
            <c:ext xmlns:c16="http://schemas.microsoft.com/office/drawing/2014/chart" uri="{C3380CC4-5D6E-409C-BE32-E72D297353CC}">
              <c16:uniqueId val="{00000000-EDA9-447A-B34A-7F5482B615D8}"/>
            </c:ext>
          </c:extLst>
        </c:ser>
        <c:ser>
          <c:idx val="1"/>
          <c:order val="1"/>
          <c:tx>
            <c:strRef>
              <c:f>'May 13, 2022'!$C$2:$C$3</c:f>
              <c:strCache>
                <c:ptCount val="2"/>
                <c:pt idx="0">
                  <c:v>Total ICU</c:v>
                </c:pt>
                <c:pt idx="1">
                  <c:v>370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13,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13, 2022'!$C$4:$C$16</c:f>
              <c:numCache>
                <c:formatCode>General</c:formatCode>
                <c:ptCount val="13"/>
                <c:pt idx="0">
                  <c:v>54</c:v>
                </c:pt>
                <c:pt idx="1">
                  <c:v>37</c:v>
                </c:pt>
                <c:pt idx="2">
                  <c:v>168</c:v>
                </c:pt>
                <c:pt idx="3">
                  <c:v>59</c:v>
                </c:pt>
                <c:pt idx="4">
                  <c:v>9</c:v>
                </c:pt>
                <c:pt idx="5">
                  <c:v>12</c:v>
                </c:pt>
                <c:pt idx="6">
                  <c:v>13</c:v>
                </c:pt>
                <c:pt idx="7">
                  <c:v>0</c:v>
                </c:pt>
                <c:pt idx="8">
                  <c:v>16</c:v>
                </c:pt>
                <c:pt idx="9">
                  <c:v>1</c:v>
                </c:pt>
                <c:pt idx="10">
                  <c:v>1</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35179680"/>
        <c:axId val="435190264"/>
      </c:barChart>
      <c:catAx>
        <c:axId val="43517968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35190264"/>
        <c:crosses val="autoZero"/>
        <c:auto val="1"/>
        <c:lblAlgn val="ctr"/>
        <c:lblOffset val="100"/>
        <c:noMultiLvlLbl val="0"/>
      </c:catAx>
      <c:valAx>
        <c:axId val="43519026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35179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2021-04-16</a:t>
            </a:r>
          </a:p>
        </c:rich>
      </c:tx>
      <c:layout>
        <c:manualLayout>
          <c:xMode val="edge"/>
          <c:yMode val="edge"/>
          <c:x val="0.1254534078476702"/>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'April 16, 2021'!$B$2:$B$3</c:f>
              <c:strCache>
                <c:ptCount val="2"/>
                <c:pt idx="0">
                  <c:v>Total Hospital</c:v>
                </c:pt>
                <c:pt idx="1">
                  <c:v>3751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16,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16, 2021'!$B$4:$B$16</c:f>
              <c:numCache>
                <c:formatCode>General</c:formatCode>
                <c:ptCount val="13"/>
                <c:pt idx="0">
                  <c:v>409</c:v>
                </c:pt>
                <c:pt idx="1">
                  <c:v>416</c:v>
                </c:pt>
                <c:pt idx="2" formatCode="0">
                  <c:v>1955</c:v>
                </c:pt>
                <c:pt idx="3" formatCode="#,##0">
                  <c:v>664</c:v>
                </c:pt>
                <c:pt idx="4">
                  <c:v>4</c:v>
                </c:pt>
                <c:pt idx="5">
                  <c:v>18</c:v>
                </c:pt>
                <c:pt idx="6">
                  <c:v>137</c:v>
                </c:pt>
                <c:pt idx="7">
                  <c:v>0</c:v>
                </c:pt>
                <c:pt idx="8">
                  <c:v>147</c:v>
                </c:pt>
                <c:pt idx="9">
                  <c:v>1</c:v>
                </c:pt>
                <c:pt idx="10">
                  <c:v>0</c:v>
                </c:pt>
                <c:pt idx="11">
                  <c:v>0</c:v>
                </c:pt>
                <c:pt idx="12">
                  <c:v>0</c:v>
                </c:pt>
              </c:numCache>
            </c:numRef>
          </c:val>
          <c:extLst>
            <c:ext xmlns:c16="http://schemas.microsoft.com/office/drawing/2014/chart" uri="{C3380CC4-5D6E-409C-BE32-E72D297353CC}">
              <c16:uniqueId val="{00000000-DA66-4A04-B593-75B3A01E5502}"/>
            </c:ext>
          </c:extLst>
        </c:ser>
        <c:ser>
          <c:idx val="1"/>
          <c:order val="1"/>
          <c:tx>
            <c:strRef>
              <c:f>'April 16, 2021'!$C$2:$C$3</c:f>
              <c:strCache>
                <c:ptCount val="2"/>
                <c:pt idx="0">
                  <c:v>Total ICU</c:v>
                </c:pt>
                <c:pt idx="1">
                  <c:v>1167</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66-4A04-B593-75B3A01E550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16,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16, 2021'!$C$4:$C$16</c:f>
              <c:numCache>
                <c:formatCode>General</c:formatCode>
                <c:ptCount val="13"/>
                <c:pt idx="0">
                  <c:v>125</c:v>
                </c:pt>
                <c:pt idx="1">
                  <c:v>86</c:v>
                </c:pt>
                <c:pt idx="2">
                  <c:v>701</c:v>
                </c:pt>
                <c:pt idx="3">
                  <c:v>167</c:v>
                </c:pt>
                <c:pt idx="4">
                  <c:v>0</c:v>
                </c:pt>
                <c:pt idx="5">
                  <c:v>12</c:v>
                </c:pt>
                <c:pt idx="6">
                  <c:v>35</c:v>
                </c:pt>
                <c:pt idx="7">
                  <c:v>0</c:v>
                </c:pt>
                <c:pt idx="8">
                  <c:v>41</c:v>
                </c:pt>
                <c:pt idx="9">
                  <c:v>0</c:v>
                </c:pt>
                <c:pt idx="10">
                  <c:v>0</c:v>
                </c:pt>
                <c:pt idx="11">
                  <c:v>0</c:v>
                </c:pt>
                <c:pt idx="12">
                  <c:v>0</c:v>
                </c:pt>
              </c:numCache>
            </c:numRef>
          </c:val>
          <c:extLst>
            <c:ext xmlns:c16="http://schemas.microsoft.com/office/drawing/2014/chart" uri="{C3380CC4-5D6E-409C-BE32-E72D297353CC}">
              <c16:uniqueId val="{00000002-DA66-4A04-B593-75B3A01E5502}"/>
            </c:ext>
          </c:extLst>
        </c:ser>
        <c:dLbls>
          <c:dLblPos val="outEnd"/>
          <c:showLegendKey val="0"/>
          <c:showVal val="1"/>
          <c:showCatName val="0"/>
          <c:showSerName val="0"/>
          <c:showPercent val="0"/>
          <c:showBubbleSize val="0"/>
        </c:dLbls>
        <c:gapWidth val="100"/>
        <c:overlap val="-24"/>
        <c:axId val="514287680"/>
        <c:axId val="514284544"/>
      </c:barChart>
      <c:catAx>
        <c:axId val="51428768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84544"/>
        <c:crosses val="autoZero"/>
        <c:auto val="1"/>
        <c:lblAlgn val="ctr"/>
        <c:lblOffset val="100"/>
        <c:noMultiLvlLbl val="0"/>
      </c:catAx>
      <c:valAx>
        <c:axId val="51428454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87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2021-04-14</a:t>
            </a:r>
          </a:p>
        </c:rich>
      </c:tx>
      <c:layout>
        <c:manualLayout>
          <c:xMode val="edge"/>
          <c:yMode val="edge"/>
          <c:x val="0.1254534078476702"/>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'April 14, 2021'!$B$2:$B$3</c:f>
              <c:strCache>
                <c:ptCount val="2"/>
                <c:pt idx="0">
                  <c:v>Total Hospital</c:v>
                </c:pt>
                <c:pt idx="1">
                  <c:v>3641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14,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14, 2021'!$B$4:$B$16</c:f>
              <c:numCache>
                <c:formatCode>General</c:formatCode>
                <c:ptCount val="13"/>
                <c:pt idx="0">
                  <c:v>377</c:v>
                </c:pt>
                <c:pt idx="1">
                  <c:v>402</c:v>
                </c:pt>
                <c:pt idx="2" formatCode="0">
                  <c:v>1877</c:v>
                </c:pt>
                <c:pt idx="3" formatCode="#,##0">
                  <c:v>660</c:v>
                </c:pt>
                <c:pt idx="4">
                  <c:v>3</c:v>
                </c:pt>
                <c:pt idx="5">
                  <c:v>19</c:v>
                </c:pt>
                <c:pt idx="6">
                  <c:v>142</c:v>
                </c:pt>
                <c:pt idx="7">
                  <c:v>0</c:v>
                </c:pt>
                <c:pt idx="8">
                  <c:v>161</c:v>
                </c:pt>
                <c:pt idx="9">
                  <c:v>0</c:v>
                </c:pt>
                <c:pt idx="10">
                  <c:v>0</c:v>
                </c:pt>
                <c:pt idx="11">
                  <c:v>0</c:v>
                </c:pt>
                <c:pt idx="12">
                  <c:v>0</c:v>
                </c:pt>
              </c:numCache>
            </c:numRef>
          </c:val>
          <c:extLst>
            <c:ext xmlns:c16="http://schemas.microsoft.com/office/drawing/2014/chart" uri="{C3380CC4-5D6E-409C-BE32-E72D297353CC}">
              <c16:uniqueId val="{00000000-8BCA-4D97-AB71-E0253361EA2E}"/>
            </c:ext>
          </c:extLst>
        </c:ser>
        <c:ser>
          <c:idx val="1"/>
          <c:order val="1"/>
          <c:tx>
            <c:strRef>
              <c:f>'April 14, 2021'!$C$2:$C$3</c:f>
              <c:strCache>
                <c:ptCount val="2"/>
                <c:pt idx="0">
                  <c:v>Total ICU</c:v>
                </c:pt>
                <c:pt idx="1">
                  <c:v>1089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BCA-4D97-AB71-E0253361EA2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14,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14, 2021'!$C$4:$C$16</c:f>
              <c:numCache>
                <c:formatCode>General</c:formatCode>
                <c:ptCount val="13"/>
                <c:pt idx="0">
                  <c:v>116</c:v>
                </c:pt>
                <c:pt idx="1">
                  <c:v>88</c:v>
                </c:pt>
                <c:pt idx="2">
                  <c:v>642</c:v>
                </c:pt>
                <c:pt idx="3">
                  <c:v>152</c:v>
                </c:pt>
                <c:pt idx="4">
                  <c:v>0</c:v>
                </c:pt>
                <c:pt idx="5">
                  <c:v>13</c:v>
                </c:pt>
                <c:pt idx="6">
                  <c:v>37</c:v>
                </c:pt>
                <c:pt idx="7">
                  <c:v>0</c:v>
                </c:pt>
                <c:pt idx="8">
                  <c:v>41</c:v>
                </c:pt>
                <c:pt idx="9">
                  <c:v>0</c:v>
                </c:pt>
                <c:pt idx="10">
                  <c:v>0</c:v>
                </c:pt>
                <c:pt idx="11">
                  <c:v>0</c:v>
                </c:pt>
                <c:pt idx="12">
                  <c:v>0</c:v>
                </c:pt>
              </c:numCache>
            </c:numRef>
          </c:val>
          <c:extLst>
            <c:ext xmlns:c16="http://schemas.microsoft.com/office/drawing/2014/chart" uri="{C3380CC4-5D6E-409C-BE32-E72D297353CC}">
              <c16:uniqueId val="{00000002-8BCA-4D97-AB71-E0253361EA2E}"/>
            </c:ext>
          </c:extLst>
        </c:ser>
        <c:dLbls>
          <c:dLblPos val="outEnd"/>
          <c:showLegendKey val="0"/>
          <c:showVal val="1"/>
          <c:showCatName val="0"/>
          <c:showSerName val="0"/>
          <c:showPercent val="0"/>
          <c:showBubbleSize val="0"/>
        </c:dLbls>
        <c:gapWidth val="100"/>
        <c:overlap val="-24"/>
        <c:axId val="514288856"/>
        <c:axId val="514285328"/>
      </c:barChart>
      <c:catAx>
        <c:axId val="51428885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85328"/>
        <c:crosses val="autoZero"/>
        <c:auto val="1"/>
        <c:lblAlgn val="ctr"/>
        <c:lblOffset val="100"/>
        <c:noMultiLvlLbl val="0"/>
      </c:catAx>
      <c:valAx>
        <c:axId val="51428532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888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2021-04-12</a:t>
            </a:r>
          </a:p>
        </c:rich>
      </c:tx>
      <c:layout>
        <c:manualLayout>
          <c:xMode val="edge"/>
          <c:yMode val="edge"/>
          <c:x val="0.1254534078476702"/>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'April 12, 2021'!$B$2:$B$3</c:f>
              <c:strCache>
                <c:ptCount val="2"/>
                <c:pt idx="0">
                  <c:v>Total Hospital</c:v>
                </c:pt>
                <c:pt idx="1">
                  <c:v>3296</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12,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12, 2021'!$B$4:$B$16</c:f>
              <c:numCache>
                <c:formatCode>General</c:formatCode>
                <c:ptCount val="13"/>
                <c:pt idx="0">
                  <c:v>332</c:v>
                </c:pt>
                <c:pt idx="1">
                  <c:v>376</c:v>
                </c:pt>
                <c:pt idx="2" formatCode="0">
                  <c:v>1646</c:v>
                </c:pt>
                <c:pt idx="3" formatCode="#,##0">
                  <c:v>630</c:v>
                </c:pt>
                <c:pt idx="4">
                  <c:v>3</c:v>
                </c:pt>
                <c:pt idx="5">
                  <c:v>20</c:v>
                </c:pt>
                <c:pt idx="6">
                  <c:v>136</c:v>
                </c:pt>
                <c:pt idx="7">
                  <c:v>0</c:v>
                </c:pt>
                <c:pt idx="8">
                  <c:v>153</c:v>
                </c:pt>
                <c:pt idx="9">
                  <c:v>0</c:v>
                </c:pt>
                <c:pt idx="10">
                  <c:v>0</c:v>
                </c:pt>
                <c:pt idx="11">
                  <c:v>0</c:v>
                </c:pt>
                <c:pt idx="12">
                  <c:v>0</c:v>
                </c:pt>
              </c:numCache>
            </c:numRef>
          </c:val>
          <c:extLst>
            <c:ext xmlns:c16="http://schemas.microsoft.com/office/drawing/2014/chart" uri="{C3380CC4-5D6E-409C-BE32-E72D297353CC}">
              <c16:uniqueId val="{00000000-AD34-417F-BBC2-C7ABCEF65ACD}"/>
            </c:ext>
          </c:extLst>
        </c:ser>
        <c:ser>
          <c:idx val="1"/>
          <c:order val="1"/>
          <c:tx>
            <c:strRef>
              <c:f>'April 12, 2021'!$C$2:$C$3</c:f>
              <c:strCache>
                <c:ptCount val="2"/>
                <c:pt idx="0">
                  <c:v>Total ICU</c:v>
                </c:pt>
                <c:pt idx="1">
                  <c:v>1043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34-417F-BBC2-C7ABCEF65A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12,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12, 2021'!$C$4:$C$16</c:f>
              <c:numCache>
                <c:formatCode>General</c:formatCode>
                <c:ptCount val="13"/>
                <c:pt idx="0">
                  <c:v>102</c:v>
                </c:pt>
                <c:pt idx="1">
                  <c:v>90</c:v>
                </c:pt>
                <c:pt idx="2">
                  <c:v>619</c:v>
                </c:pt>
                <c:pt idx="3">
                  <c:v>142</c:v>
                </c:pt>
                <c:pt idx="4">
                  <c:v>0</c:v>
                </c:pt>
                <c:pt idx="5">
                  <c:v>13</c:v>
                </c:pt>
                <c:pt idx="6">
                  <c:v>31</c:v>
                </c:pt>
                <c:pt idx="7">
                  <c:v>0</c:v>
                </c:pt>
                <c:pt idx="8">
                  <c:v>46</c:v>
                </c:pt>
                <c:pt idx="9">
                  <c:v>0</c:v>
                </c:pt>
                <c:pt idx="10">
                  <c:v>0</c:v>
                </c:pt>
                <c:pt idx="11">
                  <c:v>0</c:v>
                </c:pt>
                <c:pt idx="12">
                  <c:v>0</c:v>
                </c:pt>
              </c:numCache>
            </c:numRef>
          </c:val>
          <c:extLst>
            <c:ext xmlns:c16="http://schemas.microsoft.com/office/drawing/2014/chart" uri="{C3380CC4-5D6E-409C-BE32-E72D297353CC}">
              <c16:uniqueId val="{00000002-AD34-417F-BBC2-C7ABCEF65ACD}"/>
            </c:ext>
          </c:extLst>
        </c:ser>
        <c:dLbls>
          <c:dLblPos val="outEnd"/>
          <c:showLegendKey val="0"/>
          <c:showVal val="1"/>
          <c:showCatName val="0"/>
          <c:showSerName val="0"/>
          <c:showPercent val="0"/>
          <c:showBubbleSize val="0"/>
        </c:dLbls>
        <c:gapWidth val="100"/>
        <c:overlap val="-24"/>
        <c:axId val="514290816"/>
        <c:axId val="514294344"/>
      </c:barChart>
      <c:catAx>
        <c:axId val="51429081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94344"/>
        <c:crosses val="autoZero"/>
        <c:auto val="1"/>
        <c:lblAlgn val="ctr"/>
        <c:lblOffset val="100"/>
        <c:noMultiLvlLbl val="0"/>
      </c:catAx>
      <c:valAx>
        <c:axId val="51429434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908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2021-04-09</a:t>
            </a:r>
          </a:p>
        </c:rich>
      </c:tx>
      <c:layout>
        <c:manualLayout>
          <c:xMode val="edge"/>
          <c:yMode val="edge"/>
          <c:x val="0.1254534078476702"/>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'April 9, 2021'!$B$2:$B$3</c:f>
              <c:strCache>
                <c:ptCount val="2"/>
                <c:pt idx="0">
                  <c:v>Total Hospital</c:v>
                </c:pt>
                <c:pt idx="1">
                  <c:v>2986</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9,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9, 2021'!$B$4:$B$16</c:f>
              <c:numCache>
                <c:formatCode>General</c:formatCode>
                <c:ptCount val="13"/>
                <c:pt idx="0">
                  <c:v>336</c:v>
                </c:pt>
                <c:pt idx="1">
                  <c:v>340</c:v>
                </c:pt>
                <c:pt idx="2" formatCode="0">
                  <c:v>1417</c:v>
                </c:pt>
                <c:pt idx="3" formatCode="#,##0">
                  <c:v>566</c:v>
                </c:pt>
                <c:pt idx="4">
                  <c:v>1</c:v>
                </c:pt>
                <c:pt idx="5">
                  <c:v>20</c:v>
                </c:pt>
                <c:pt idx="6">
                  <c:v>141</c:v>
                </c:pt>
                <c:pt idx="7">
                  <c:v>0</c:v>
                </c:pt>
                <c:pt idx="8">
                  <c:v>165</c:v>
                </c:pt>
                <c:pt idx="9">
                  <c:v>0</c:v>
                </c:pt>
                <c:pt idx="10">
                  <c:v>0</c:v>
                </c:pt>
                <c:pt idx="11">
                  <c:v>0</c:v>
                </c:pt>
                <c:pt idx="12">
                  <c:v>0</c:v>
                </c:pt>
              </c:numCache>
            </c:numRef>
          </c:val>
          <c:extLst>
            <c:ext xmlns:c16="http://schemas.microsoft.com/office/drawing/2014/chart" uri="{C3380CC4-5D6E-409C-BE32-E72D297353CC}">
              <c16:uniqueId val="{00000000-3C34-40C0-BEA6-E9FD21707488}"/>
            </c:ext>
          </c:extLst>
        </c:ser>
        <c:ser>
          <c:idx val="1"/>
          <c:order val="1"/>
          <c:tx>
            <c:strRef>
              <c:f>'April 9, 2021'!$C$2:$C$3</c:f>
              <c:strCache>
                <c:ptCount val="2"/>
                <c:pt idx="0">
                  <c:v>Total ICU</c:v>
                </c:pt>
                <c:pt idx="1">
                  <c:v>928</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C34-40C0-BEA6-E9FD2170748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9,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9, 2021'!$C$4:$C$16</c:f>
              <c:numCache>
                <c:formatCode>General</c:formatCode>
                <c:ptCount val="13"/>
                <c:pt idx="0">
                  <c:v>101</c:v>
                </c:pt>
                <c:pt idx="1">
                  <c:v>83</c:v>
                </c:pt>
                <c:pt idx="2">
                  <c:v>525</c:v>
                </c:pt>
                <c:pt idx="3">
                  <c:v>132</c:v>
                </c:pt>
                <c:pt idx="4">
                  <c:v>0</c:v>
                </c:pt>
                <c:pt idx="5">
                  <c:v>13</c:v>
                </c:pt>
                <c:pt idx="6">
                  <c:v>33</c:v>
                </c:pt>
                <c:pt idx="7">
                  <c:v>0</c:v>
                </c:pt>
                <c:pt idx="8">
                  <c:v>41</c:v>
                </c:pt>
                <c:pt idx="9">
                  <c:v>0</c:v>
                </c:pt>
                <c:pt idx="10">
                  <c:v>0</c:v>
                </c:pt>
                <c:pt idx="11">
                  <c:v>0</c:v>
                </c:pt>
                <c:pt idx="12">
                  <c:v>0</c:v>
                </c:pt>
              </c:numCache>
            </c:numRef>
          </c:val>
          <c:extLst>
            <c:ext xmlns:c16="http://schemas.microsoft.com/office/drawing/2014/chart" uri="{C3380CC4-5D6E-409C-BE32-E72D297353CC}">
              <c16:uniqueId val="{00000002-3C34-40C0-BEA6-E9FD21707488}"/>
            </c:ext>
          </c:extLst>
        </c:ser>
        <c:dLbls>
          <c:dLblPos val="outEnd"/>
          <c:showLegendKey val="0"/>
          <c:showVal val="1"/>
          <c:showCatName val="0"/>
          <c:showSerName val="0"/>
          <c:showPercent val="0"/>
          <c:showBubbleSize val="0"/>
        </c:dLbls>
        <c:gapWidth val="100"/>
        <c:overlap val="-24"/>
        <c:axId val="514286504"/>
        <c:axId val="514293168"/>
      </c:barChart>
      <c:catAx>
        <c:axId val="51428650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93168"/>
        <c:crosses val="autoZero"/>
        <c:auto val="1"/>
        <c:lblAlgn val="ctr"/>
        <c:lblOffset val="100"/>
        <c:noMultiLvlLbl val="0"/>
      </c:catAx>
      <c:valAx>
        <c:axId val="51429316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86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2021-04-07</a:t>
            </a:r>
          </a:p>
        </c:rich>
      </c:tx>
      <c:layout>
        <c:manualLayout>
          <c:xMode val="edge"/>
          <c:yMode val="edge"/>
          <c:x val="0.1254534078476702"/>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'April 7, 2021'!$B$2:$B$3</c:f>
              <c:strCache>
                <c:ptCount val="2"/>
                <c:pt idx="0">
                  <c:v>Total Hospital</c:v>
                </c:pt>
                <c:pt idx="1">
                  <c:v>2913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7,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7, 2021'!$B$4:$B$16</c:f>
              <c:numCache>
                <c:formatCode>General</c:formatCode>
                <c:ptCount val="13"/>
                <c:pt idx="0">
                  <c:v>328</c:v>
                </c:pt>
                <c:pt idx="1">
                  <c:v>328</c:v>
                </c:pt>
                <c:pt idx="2" formatCode="0">
                  <c:v>1397</c:v>
                </c:pt>
                <c:pt idx="3" formatCode="#,##0">
                  <c:v>543</c:v>
                </c:pt>
                <c:pt idx="4">
                  <c:v>1</c:v>
                </c:pt>
                <c:pt idx="5">
                  <c:v>18</c:v>
                </c:pt>
                <c:pt idx="6">
                  <c:v>140</c:v>
                </c:pt>
                <c:pt idx="7">
                  <c:v>0</c:v>
                </c:pt>
                <c:pt idx="8">
                  <c:v>158</c:v>
                </c:pt>
                <c:pt idx="9">
                  <c:v>0</c:v>
                </c:pt>
                <c:pt idx="10">
                  <c:v>0</c:v>
                </c:pt>
                <c:pt idx="11">
                  <c:v>0</c:v>
                </c:pt>
                <c:pt idx="12">
                  <c:v>0</c:v>
                </c:pt>
              </c:numCache>
            </c:numRef>
          </c:val>
          <c:extLst>
            <c:ext xmlns:c16="http://schemas.microsoft.com/office/drawing/2014/chart" uri="{C3380CC4-5D6E-409C-BE32-E72D297353CC}">
              <c16:uniqueId val="{00000000-132B-491B-9ADB-DD39415B7669}"/>
            </c:ext>
          </c:extLst>
        </c:ser>
        <c:ser>
          <c:idx val="1"/>
          <c:order val="1"/>
          <c:tx>
            <c:strRef>
              <c:f>'April 7, 2021'!$C$2:$C$3</c:f>
              <c:strCache>
                <c:ptCount val="2"/>
                <c:pt idx="0">
                  <c:v>Total ICU</c:v>
                </c:pt>
                <c:pt idx="1">
                  <c:v>885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32B-491B-9ADB-DD39415B766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7,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7, 2021'!$C$4:$C$16</c:f>
              <c:numCache>
                <c:formatCode>General</c:formatCode>
                <c:ptCount val="13"/>
                <c:pt idx="0">
                  <c:v>96</c:v>
                </c:pt>
                <c:pt idx="1">
                  <c:v>76</c:v>
                </c:pt>
                <c:pt idx="2">
                  <c:v>504</c:v>
                </c:pt>
                <c:pt idx="3">
                  <c:v>123</c:v>
                </c:pt>
                <c:pt idx="4">
                  <c:v>0</c:v>
                </c:pt>
                <c:pt idx="5">
                  <c:v>12</c:v>
                </c:pt>
                <c:pt idx="6">
                  <c:v>30</c:v>
                </c:pt>
                <c:pt idx="7">
                  <c:v>0</c:v>
                </c:pt>
                <c:pt idx="8">
                  <c:v>44</c:v>
                </c:pt>
                <c:pt idx="9">
                  <c:v>0</c:v>
                </c:pt>
                <c:pt idx="10">
                  <c:v>0</c:v>
                </c:pt>
                <c:pt idx="11">
                  <c:v>0</c:v>
                </c:pt>
                <c:pt idx="12">
                  <c:v>0</c:v>
                </c:pt>
              </c:numCache>
            </c:numRef>
          </c:val>
          <c:extLst>
            <c:ext xmlns:c16="http://schemas.microsoft.com/office/drawing/2014/chart" uri="{C3380CC4-5D6E-409C-BE32-E72D297353CC}">
              <c16:uniqueId val="{00000002-132B-491B-9ADB-DD39415B7669}"/>
            </c:ext>
          </c:extLst>
        </c:ser>
        <c:dLbls>
          <c:dLblPos val="outEnd"/>
          <c:showLegendKey val="0"/>
          <c:showVal val="1"/>
          <c:showCatName val="0"/>
          <c:showSerName val="0"/>
          <c:showPercent val="0"/>
          <c:showBubbleSize val="0"/>
        </c:dLbls>
        <c:gapWidth val="100"/>
        <c:overlap val="-24"/>
        <c:axId val="514290424"/>
        <c:axId val="514286112"/>
      </c:barChart>
      <c:catAx>
        <c:axId val="51429042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86112"/>
        <c:crosses val="autoZero"/>
        <c:auto val="1"/>
        <c:lblAlgn val="ctr"/>
        <c:lblOffset val="100"/>
        <c:noMultiLvlLbl val="0"/>
      </c:catAx>
      <c:valAx>
        <c:axId val="51428611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90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2021-04-05</a:t>
            </a:r>
          </a:p>
        </c:rich>
      </c:tx>
      <c:layout>
        <c:manualLayout>
          <c:xMode val="edge"/>
          <c:yMode val="edge"/>
          <c:x val="0.1254534078476702"/>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'April 5, 2021'!$B$2:$B$3</c:f>
              <c:strCache>
                <c:ptCount val="2"/>
                <c:pt idx="0">
                  <c:v>Total Hospital</c:v>
                </c:pt>
                <c:pt idx="1">
                  <c:v>2341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5,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5, 2021'!$B$4:$B$16</c:f>
              <c:numCache>
                <c:formatCode>General</c:formatCode>
                <c:ptCount val="13"/>
                <c:pt idx="0">
                  <c:v>296</c:v>
                </c:pt>
                <c:pt idx="1">
                  <c:v>292</c:v>
                </c:pt>
                <c:pt idx="2" formatCode="0">
                  <c:v>942</c:v>
                </c:pt>
                <c:pt idx="3" formatCode="#,##0">
                  <c:v>503</c:v>
                </c:pt>
                <c:pt idx="4">
                  <c:v>1</c:v>
                </c:pt>
                <c:pt idx="5">
                  <c:v>15</c:v>
                </c:pt>
                <c:pt idx="6">
                  <c:v>142</c:v>
                </c:pt>
                <c:pt idx="7">
                  <c:v>0</c:v>
                </c:pt>
                <c:pt idx="8">
                  <c:v>150</c:v>
                </c:pt>
                <c:pt idx="9">
                  <c:v>0</c:v>
                </c:pt>
                <c:pt idx="10">
                  <c:v>0</c:v>
                </c:pt>
                <c:pt idx="11">
                  <c:v>0</c:v>
                </c:pt>
                <c:pt idx="12">
                  <c:v>0</c:v>
                </c:pt>
              </c:numCache>
            </c:numRef>
          </c:val>
          <c:extLst>
            <c:ext xmlns:c16="http://schemas.microsoft.com/office/drawing/2014/chart" uri="{C3380CC4-5D6E-409C-BE32-E72D297353CC}">
              <c16:uniqueId val="{00000000-52AA-4510-B9F9-DAF3ADCDD526}"/>
            </c:ext>
          </c:extLst>
        </c:ser>
        <c:ser>
          <c:idx val="1"/>
          <c:order val="1"/>
          <c:tx>
            <c:strRef>
              <c:f>'April 5, 2021'!$C$2:$C$3</c:f>
              <c:strCache>
                <c:ptCount val="2"/>
                <c:pt idx="0">
                  <c:v>Total ICU</c:v>
                </c:pt>
                <c:pt idx="1">
                  <c:v>835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2AA-4510-B9F9-DAF3ADCDD52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5,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5, 2021'!$C$4:$C$16</c:f>
              <c:numCache>
                <c:formatCode>General</c:formatCode>
                <c:ptCount val="13"/>
                <c:pt idx="0">
                  <c:v>79</c:v>
                </c:pt>
                <c:pt idx="1">
                  <c:v>59</c:v>
                </c:pt>
                <c:pt idx="2">
                  <c:v>494</c:v>
                </c:pt>
                <c:pt idx="3">
                  <c:v>123</c:v>
                </c:pt>
                <c:pt idx="4">
                  <c:v>0</c:v>
                </c:pt>
                <c:pt idx="5">
                  <c:v>7</c:v>
                </c:pt>
                <c:pt idx="6">
                  <c:v>29</c:v>
                </c:pt>
                <c:pt idx="7">
                  <c:v>0</c:v>
                </c:pt>
                <c:pt idx="8">
                  <c:v>44</c:v>
                </c:pt>
                <c:pt idx="9">
                  <c:v>0</c:v>
                </c:pt>
                <c:pt idx="10">
                  <c:v>0</c:v>
                </c:pt>
                <c:pt idx="11">
                  <c:v>0</c:v>
                </c:pt>
                <c:pt idx="12">
                  <c:v>0</c:v>
                </c:pt>
              </c:numCache>
            </c:numRef>
          </c:val>
          <c:extLst>
            <c:ext xmlns:c16="http://schemas.microsoft.com/office/drawing/2014/chart" uri="{C3380CC4-5D6E-409C-BE32-E72D297353CC}">
              <c16:uniqueId val="{00000002-52AA-4510-B9F9-DAF3ADCDD526}"/>
            </c:ext>
          </c:extLst>
        </c:ser>
        <c:dLbls>
          <c:dLblPos val="outEnd"/>
          <c:showLegendKey val="0"/>
          <c:showVal val="1"/>
          <c:showCatName val="0"/>
          <c:showSerName val="0"/>
          <c:showPercent val="0"/>
          <c:showBubbleSize val="0"/>
        </c:dLbls>
        <c:gapWidth val="100"/>
        <c:overlap val="-24"/>
        <c:axId val="514293560"/>
        <c:axId val="514287288"/>
      </c:barChart>
      <c:catAx>
        <c:axId val="51429356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87288"/>
        <c:crosses val="autoZero"/>
        <c:auto val="1"/>
        <c:lblAlgn val="ctr"/>
        <c:lblOffset val="100"/>
        <c:noMultiLvlLbl val="0"/>
      </c:catAx>
      <c:valAx>
        <c:axId val="51428728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935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2021-03-31</a:t>
            </a:r>
          </a:p>
        </c:rich>
      </c:tx>
      <c:layout>
        <c:manualLayout>
          <c:xMode val="edge"/>
          <c:yMode val="edge"/>
          <c:x val="0.1254534078476702"/>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'March 31, 2021'!$B$2:$B$3</c:f>
              <c:strCache>
                <c:ptCount val="2"/>
                <c:pt idx="0">
                  <c:v>Total Hospital</c:v>
                </c:pt>
                <c:pt idx="1">
                  <c:v>2499</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31,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31, 2021'!$B$4:$B$16</c:f>
              <c:numCache>
                <c:formatCode>General</c:formatCode>
                <c:ptCount val="13"/>
                <c:pt idx="0">
                  <c:v>312</c:v>
                </c:pt>
                <c:pt idx="1">
                  <c:v>301</c:v>
                </c:pt>
                <c:pt idx="2" formatCode="0">
                  <c:v>1111</c:v>
                </c:pt>
                <c:pt idx="3" formatCode="#,##0">
                  <c:v>485</c:v>
                </c:pt>
                <c:pt idx="4">
                  <c:v>1</c:v>
                </c:pt>
                <c:pt idx="5">
                  <c:v>5</c:v>
                </c:pt>
                <c:pt idx="6">
                  <c:v>146</c:v>
                </c:pt>
                <c:pt idx="7">
                  <c:v>0</c:v>
                </c:pt>
                <c:pt idx="8">
                  <c:v>138</c:v>
                </c:pt>
                <c:pt idx="9">
                  <c:v>0</c:v>
                </c:pt>
                <c:pt idx="10">
                  <c:v>0</c:v>
                </c:pt>
                <c:pt idx="11">
                  <c:v>0</c:v>
                </c:pt>
                <c:pt idx="12">
                  <c:v>0</c:v>
                </c:pt>
              </c:numCache>
            </c:numRef>
          </c:val>
          <c:extLst>
            <c:ext xmlns:c16="http://schemas.microsoft.com/office/drawing/2014/chart" uri="{C3380CC4-5D6E-409C-BE32-E72D297353CC}">
              <c16:uniqueId val="{00000000-1C3E-4E61-9FC3-D6AF7FA2F2C4}"/>
            </c:ext>
          </c:extLst>
        </c:ser>
        <c:ser>
          <c:idx val="1"/>
          <c:order val="1"/>
          <c:tx>
            <c:strRef>
              <c:f>'March 31, 2021'!$C$2:$C$3</c:f>
              <c:strCache>
                <c:ptCount val="2"/>
                <c:pt idx="0">
                  <c:v>Total ICU</c:v>
                </c:pt>
                <c:pt idx="1">
                  <c:v>704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3E-4E61-9FC3-D6AF7FA2F2C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31,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31, 2021'!$C$4:$C$16</c:f>
              <c:numCache>
                <c:formatCode>General</c:formatCode>
                <c:ptCount val="13"/>
                <c:pt idx="0">
                  <c:v>78</c:v>
                </c:pt>
                <c:pt idx="1">
                  <c:v>58</c:v>
                </c:pt>
                <c:pt idx="2">
                  <c:v>396</c:v>
                </c:pt>
                <c:pt idx="3">
                  <c:v>120</c:v>
                </c:pt>
                <c:pt idx="4">
                  <c:v>0</c:v>
                </c:pt>
                <c:pt idx="5">
                  <c:v>2</c:v>
                </c:pt>
                <c:pt idx="6">
                  <c:v>28</c:v>
                </c:pt>
                <c:pt idx="7">
                  <c:v>0</c:v>
                </c:pt>
                <c:pt idx="8">
                  <c:v>22</c:v>
                </c:pt>
                <c:pt idx="9">
                  <c:v>0</c:v>
                </c:pt>
                <c:pt idx="10">
                  <c:v>0</c:v>
                </c:pt>
                <c:pt idx="11">
                  <c:v>0</c:v>
                </c:pt>
                <c:pt idx="12">
                  <c:v>0</c:v>
                </c:pt>
              </c:numCache>
            </c:numRef>
          </c:val>
          <c:extLst>
            <c:ext xmlns:c16="http://schemas.microsoft.com/office/drawing/2014/chart" uri="{C3380CC4-5D6E-409C-BE32-E72D297353CC}">
              <c16:uniqueId val="{00000002-1C3E-4E61-9FC3-D6AF7FA2F2C4}"/>
            </c:ext>
          </c:extLst>
        </c:ser>
        <c:dLbls>
          <c:dLblPos val="outEnd"/>
          <c:showLegendKey val="0"/>
          <c:showVal val="1"/>
          <c:showCatName val="0"/>
          <c:showSerName val="0"/>
          <c:showPercent val="0"/>
          <c:showBubbleSize val="0"/>
        </c:dLbls>
        <c:gapWidth val="100"/>
        <c:overlap val="-24"/>
        <c:axId val="514288072"/>
        <c:axId val="514294736"/>
      </c:barChart>
      <c:catAx>
        <c:axId val="51428807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94736"/>
        <c:crosses val="autoZero"/>
        <c:auto val="1"/>
        <c:lblAlgn val="ctr"/>
        <c:lblOffset val="100"/>
        <c:noMultiLvlLbl val="0"/>
      </c:catAx>
      <c:valAx>
        <c:axId val="51429473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88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2021-03-29</a:t>
            </a:r>
          </a:p>
        </c:rich>
      </c:tx>
      <c:layout>
        <c:manualLayout>
          <c:xMode val="edge"/>
          <c:yMode val="edge"/>
          <c:x val="0.1254534078476702"/>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'March 29, 2021'!$B$2:$B$3</c:f>
              <c:strCache>
                <c:ptCount val="2"/>
                <c:pt idx="0">
                  <c:v>Total Hospital</c:v>
                </c:pt>
                <c:pt idx="1">
                  <c:v>2171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29,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29, 2021'!$B$4:$B$16</c:f>
              <c:numCache>
                <c:formatCode>General</c:formatCode>
                <c:ptCount val="13"/>
                <c:pt idx="0">
                  <c:v>294</c:v>
                </c:pt>
                <c:pt idx="1">
                  <c:v>277</c:v>
                </c:pt>
                <c:pt idx="2" formatCode="0">
                  <c:v>841</c:v>
                </c:pt>
                <c:pt idx="3" formatCode="#,##0">
                  <c:v>477</c:v>
                </c:pt>
                <c:pt idx="4">
                  <c:v>1</c:v>
                </c:pt>
                <c:pt idx="5">
                  <c:v>4</c:v>
                </c:pt>
                <c:pt idx="6">
                  <c:v>149</c:v>
                </c:pt>
                <c:pt idx="7">
                  <c:v>0</c:v>
                </c:pt>
                <c:pt idx="8">
                  <c:v>128</c:v>
                </c:pt>
                <c:pt idx="9">
                  <c:v>0</c:v>
                </c:pt>
                <c:pt idx="10">
                  <c:v>0</c:v>
                </c:pt>
                <c:pt idx="11">
                  <c:v>0</c:v>
                </c:pt>
                <c:pt idx="12">
                  <c:v>0</c:v>
                </c:pt>
              </c:numCache>
            </c:numRef>
          </c:val>
          <c:extLst>
            <c:ext xmlns:c16="http://schemas.microsoft.com/office/drawing/2014/chart" uri="{C3380CC4-5D6E-409C-BE32-E72D297353CC}">
              <c16:uniqueId val="{00000000-F761-45CE-813D-535FFBF30138}"/>
            </c:ext>
          </c:extLst>
        </c:ser>
        <c:ser>
          <c:idx val="1"/>
          <c:order val="1"/>
          <c:tx>
            <c:strRef>
              <c:f>'March 29, 2021'!$C$2:$C$3</c:f>
              <c:strCache>
                <c:ptCount val="2"/>
                <c:pt idx="0">
                  <c:v>Total ICU</c:v>
                </c:pt>
                <c:pt idx="1">
                  <c:v>702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61-45CE-813D-535FFBF3013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29,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29, 2021'!$C$4:$C$16</c:f>
              <c:numCache>
                <c:formatCode>General</c:formatCode>
                <c:ptCount val="13"/>
                <c:pt idx="0">
                  <c:v>81</c:v>
                </c:pt>
                <c:pt idx="1">
                  <c:v>63</c:v>
                </c:pt>
                <c:pt idx="2">
                  <c:v>382</c:v>
                </c:pt>
                <c:pt idx="3">
                  <c:v>120</c:v>
                </c:pt>
                <c:pt idx="4">
                  <c:v>0</c:v>
                </c:pt>
                <c:pt idx="5">
                  <c:v>2</c:v>
                </c:pt>
                <c:pt idx="6">
                  <c:v>27</c:v>
                </c:pt>
                <c:pt idx="7">
                  <c:v>0</c:v>
                </c:pt>
                <c:pt idx="8">
                  <c:v>27</c:v>
                </c:pt>
                <c:pt idx="9">
                  <c:v>0</c:v>
                </c:pt>
                <c:pt idx="10">
                  <c:v>0</c:v>
                </c:pt>
                <c:pt idx="11">
                  <c:v>0</c:v>
                </c:pt>
                <c:pt idx="12">
                  <c:v>0</c:v>
                </c:pt>
              </c:numCache>
            </c:numRef>
          </c:val>
          <c:extLst>
            <c:ext xmlns:c16="http://schemas.microsoft.com/office/drawing/2014/chart" uri="{C3380CC4-5D6E-409C-BE32-E72D297353CC}">
              <c16:uniqueId val="{00000002-F761-45CE-813D-535FFBF30138}"/>
            </c:ext>
          </c:extLst>
        </c:ser>
        <c:dLbls>
          <c:dLblPos val="outEnd"/>
          <c:showLegendKey val="0"/>
          <c:showVal val="1"/>
          <c:showCatName val="0"/>
          <c:showSerName val="0"/>
          <c:showPercent val="0"/>
          <c:showBubbleSize val="0"/>
        </c:dLbls>
        <c:gapWidth val="100"/>
        <c:overlap val="-24"/>
        <c:axId val="514289640"/>
        <c:axId val="514291208"/>
      </c:barChart>
      <c:catAx>
        <c:axId val="51428964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91208"/>
        <c:crosses val="autoZero"/>
        <c:auto val="1"/>
        <c:lblAlgn val="ctr"/>
        <c:lblOffset val="100"/>
        <c:noMultiLvlLbl val="0"/>
      </c:catAx>
      <c:valAx>
        <c:axId val="51429120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89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2021-03-26</a:t>
            </a:r>
          </a:p>
        </c:rich>
      </c:tx>
      <c:layout>
        <c:manualLayout>
          <c:xMode val="edge"/>
          <c:yMode val="edge"/>
          <c:x val="0.1254534078476702"/>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'March 26, 2021'!$B$2:$B$3</c:f>
              <c:strCache>
                <c:ptCount val="2"/>
                <c:pt idx="0">
                  <c:v>Total Hospital</c:v>
                </c:pt>
                <c:pt idx="1">
                  <c:v>2272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26,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26, 2021'!$B$4:$B$16</c:f>
              <c:numCache>
                <c:formatCode>General</c:formatCode>
                <c:ptCount val="13"/>
                <c:pt idx="0">
                  <c:v>306</c:v>
                </c:pt>
                <c:pt idx="1">
                  <c:v>294</c:v>
                </c:pt>
                <c:pt idx="2" formatCode="0">
                  <c:v>913</c:v>
                </c:pt>
                <c:pt idx="3" formatCode="#,##0">
                  <c:v>481</c:v>
                </c:pt>
                <c:pt idx="4">
                  <c:v>0</c:v>
                </c:pt>
                <c:pt idx="5">
                  <c:v>4</c:v>
                </c:pt>
                <c:pt idx="6">
                  <c:v>142</c:v>
                </c:pt>
                <c:pt idx="7">
                  <c:v>0</c:v>
                </c:pt>
                <c:pt idx="8">
                  <c:v>132</c:v>
                </c:pt>
                <c:pt idx="9">
                  <c:v>0</c:v>
                </c:pt>
                <c:pt idx="10">
                  <c:v>0</c:v>
                </c:pt>
                <c:pt idx="11">
                  <c:v>0</c:v>
                </c:pt>
                <c:pt idx="12">
                  <c:v>0</c:v>
                </c:pt>
              </c:numCache>
            </c:numRef>
          </c:val>
          <c:extLst>
            <c:ext xmlns:c16="http://schemas.microsoft.com/office/drawing/2014/chart" uri="{C3380CC4-5D6E-409C-BE32-E72D297353CC}">
              <c16:uniqueId val="{00000000-2130-4BC9-98AF-D8284A718808}"/>
            </c:ext>
          </c:extLst>
        </c:ser>
        <c:ser>
          <c:idx val="1"/>
          <c:order val="1"/>
          <c:tx>
            <c:strRef>
              <c:f>'March 26, 2021'!$C$2:$C$3</c:f>
              <c:strCache>
                <c:ptCount val="2"/>
                <c:pt idx="0">
                  <c:v>Total ICU</c:v>
                </c:pt>
                <c:pt idx="1">
                  <c:v>661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130-4BC9-98AF-D8284A71880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26,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26, 2021'!$C$4:$C$16</c:f>
              <c:numCache>
                <c:formatCode>General</c:formatCode>
                <c:ptCount val="13"/>
                <c:pt idx="0">
                  <c:v>79</c:v>
                </c:pt>
                <c:pt idx="1">
                  <c:v>55</c:v>
                </c:pt>
                <c:pt idx="2">
                  <c:v>359</c:v>
                </c:pt>
                <c:pt idx="3">
                  <c:v>115</c:v>
                </c:pt>
                <c:pt idx="4">
                  <c:v>0</c:v>
                </c:pt>
                <c:pt idx="5">
                  <c:v>0</c:v>
                </c:pt>
                <c:pt idx="6">
                  <c:v>31</c:v>
                </c:pt>
                <c:pt idx="7">
                  <c:v>0</c:v>
                </c:pt>
                <c:pt idx="8">
                  <c:v>22</c:v>
                </c:pt>
                <c:pt idx="9">
                  <c:v>0</c:v>
                </c:pt>
                <c:pt idx="10">
                  <c:v>0</c:v>
                </c:pt>
                <c:pt idx="11">
                  <c:v>0</c:v>
                </c:pt>
                <c:pt idx="12">
                  <c:v>0</c:v>
                </c:pt>
              </c:numCache>
            </c:numRef>
          </c:val>
          <c:extLst>
            <c:ext xmlns:c16="http://schemas.microsoft.com/office/drawing/2014/chart" uri="{C3380CC4-5D6E-409C-BE32-E72D297353CC}">
              <c16:uniqueId val="{00000002-2130-4BC9-98AF-D8284A718808}"/>
            </c:ext>
          </c:extLst>
        </c:ser>
        <c:dLbls>
          <c:dLblPos val="outEnd"/>
          <c:showLegendKey val="0"/>
          <c:showVal val="1"/>
          <c:showCatName val="0"/>
          <c:showSerName val="0"/>
          <c:showPercent val="0"/>
          <c:showBubbleSize val="0"/>
        </c:dLbls>
        <c:gapWidth val="100"/>
        <c:overlap val="-24"/>
        <c:axId val="514284936"/>
        <c:axId val="514291600"/>
      </c:barChart>
      <c:catAx>
        <c:axId val="51428493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91600"/>
        <c:crosses val="autoZero"/>
        <c:auto val="1"/>
        <c:lblAlgn val="ctr"/>
        <c:lblOffset val="100"/>
        <c:noMultiLvlLbl val="0"/>
      </c:catAx>
      <c:valAx>
        <c:axId val="51429160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84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2021-03-24</a:t>
            </a:r>
          </a:p>
        </c:rich>
      </c:tx>
      <c:layout>
        <c:manualLayout>
          <c:xMode val="edge"/>
          <c:yMode val="edge"/>
          <c:x val="0.1254534078476702"/>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'March 24, 2021'!$B$2:$B$3</c:f>
              <c:strCache>
                <c:ptCount val="2"/>
                <c:pt idx="0">
                  <c:v>Total Hospital</c:v>
                </c:pt>
                <c:pt idx="1">
                  <c:v>2275</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24,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24, 2021'!$B$4:$B$16</c:f>
              <c:numCache>
                <c:formatCode>General</c:formatCode>
                <c:ptCount val="13"/>
                <c:pt idx="0">
                  <c:v>314</c:v>
                </c:pt>
                <c:pt idx="1">
                  <c:v>290</c:v>
                </c:pt>
                <c:pt idx="2" formatCode="0">
                  <c:v>893</c:v>
                </c:pt>
                <c:pt idx="3" formatCode="#,##0">
                  <c:v>508</c:v>
                </c:pt>
                <c:pt idx="4">
                  <c:v>0</c:v>
                </c:pt>
                <c:pt idx="5">
                  <c:v>1</c:v>
                </c:pt>
                <c:pt idx="6">
                  <c:v>142</c:v>
                </c:pt>
                <c:pt idx="7">
                  <c:v>0</c:v>
                </c:pt>
                <c:pt idx="8">
                  <c:v>126</c:v>
                </c:pt>
                <c:pt idx="9">
                  <c:v>1</c:v>
                </c:pt>
                <c:pt idx="10">
                  <c:v>0</c:v>
                </c:pt>
                <c:pt idx="11">
                  <c:v>0</c:v>
                </c:pt>
                <c:pt idx="12">
                  <c:v>0</c:v>
                </c:pt>
              </c:numCache>
            </c:numRef>
          </c:val>
          <c:extLst>
            <c:ext xmlns:c16="http://schemas.microsoft.com/office/drawing/2014/chart" uri="{C3380CC4-5D6E-409C-BE32-E72D297353CC}">
              <c16:uniqueId val="{00000000-AED1-4197-A265-28958F7308DB}"/>
            </c:ext>
          </c:extLst>
        </c:ser>
        <c:ser>
          <c:idx val="1"/>
          <c:order val="1"/>
          <c:tx>
            <c:strRef>
              <c:f>'March 24, 2021'!$C$2:$C$3</c:f>
              <c:strCache>
                <c:ptCount val="2"/>
                <c:pt idx="0">
                  <c:v>Total ICU</c:v>
                </c:pt>
                <c:pt idx="1">
                  <c:v>638</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ED1-4197-A265-28958F7308D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24,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24, 2021'!$C$4:$C$16</c:f>
              <c:numCache>
                <c:formatCode>General</c:formatCode>
                <c:ptCount val="13"/>
                <c:pt idx="0">
                  <c:v>83</c:v>
                </c:pt>
                <c:pt idx="1">
                  <c:v>53</c:v>
                </c:pt>
                <c:pt idx="2">
                  <c:v>333</c:v>
                </c:pt>
                <c:pt idx="3">
                  <c:v>118</c:v>
                </c:pt>
                <c:pt idx="4">
                  <c:v>0</c:v>
                </c:pt>
                <c:pt idx="5">
                  <c:v>0</c:v>
                </c:pt>
                <c:pt idx="6">
                  <c:v>25</c:v>
                </c:pt>
                <c:pt idx="7">
                  <c:v>0</c:v>
                </c:pt>
                <c:pt idx="8">
                  <c:v>26</c:v>
                </c:pt>
                <c:pt idx="9">
                  <c:v>0</c:v>
                </c:pt>
                <c:pt idx="10">
                  <c:v>0</c:v>
                </c:pt>
                <c:pt idx="11">
                  <c:v>0</c:v>
                </c:pt>
                <c:pt idx="12">
                  <c:v>0</c:v>
                </c:pt>
              </c:numCache>
            </c:numRef>
          </c:val>
          <c:extLst>
            <c:ext xmlns:c16="http://schemas.microsoft.com/office/drawing/2014/chart" uri="{C3380CC4-5D6E-409C-BE32-E72D297353CC}">
              <c16:uniqueId val="{00000002-AED1-4197-A265-28958F7308DB}"/>
            </c:ext>
          </c:extLst>
        </c:ser>
        <c:dLbls>
          <c:dLblPos val="outEnd"/>
          <c:showLegendKey val="0"/>
          <c:showVal val="1"/>
          <c:showCatName val="0"/>
          <c:showSerName val="0"/>
          <c:showPercent val="0"/>
          <c:showBubbleSize val="0"/>
        </c:dLbls>
        <c:gapWidth val="100"/>
        <c:overlap val="-24"/>
        <c:axId val="514282976"/>
        <c:axId val="514283760"/>
      </c:barChart>
      <c:catAx>
        <c:axId val="51428297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83760"/>
        <c:crosses val="autoZero"/>
        <c:auto val="1"/>
        <c:lblAlgn val="ctr"/>
        <c:lblOffset val="100"/>
        <c:noMultiLvlLbl val="0"/>
      </c:catAx>
      <c:valAx>
        <c:axId val="51428376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82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2022-05-06</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'May 6, 2022'!$B$2:$B$3</c:f>
              <c:strCache>
                <c:ptCount val="2"/>
                <c:pt idx="0">
                  <c:v>Total Hospital</c:v>
                </c:pt>
                <c:pt idx="1">
                  <c:v>6370</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6,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6, 2022'!$B$4:$B$16</c:f>
              <c:numCache>
                <c:formatCode>General</c:formatCode>
                <c:ptCount val="13"/>
                <c:pt idx="0">
                  <c:v>550</c:v>
                </c:pt>
                <c:pt idx="1">
                  <c:v>1267</c:v>
                </c:pt>
                <c:pt idx="2" formatCode="0">
                  <c:v>1662</c:v>
                </c:pt>
                <c:pt idx="3" formatCode="#,##0">
                  <c:v>2051</c:v>
                </c:pt>
                <c:pt idx="4">
                  <c:v>66</c:v>
                </c:pt>
                <c:pt idx="5">
                  <c:v>123</c:v>
                </c:pt>
                <c:pt idx="6">
                  <c:v>185</c:v>
                </c:pt>
                <c:pt idx="7">
                  <c:v>13</c:v>
                </c:pt>
                <c:pt idx="8">
                  <c:v>390</c:v>
                </c:pt>
                <c:pt idx="9">
                  <c:v>17</c:v>
                </c:pt>
                <c:pt idx="10">
                  <c:v>8</c:v>
                </c:pt>
                <c:pt idx="11">
                  <c:v>5</c:v>
                </c:pt>
                <c:pt idx="12">
                  <c:v>33</c:v>
                </c:pt>
              </c:numCache>
            </c:numRef>
          </c:val>
          <c:extLst>
            <c:ext xmlns:c16="http://schemas.microsoft.com/office/drawing/2014/chart" uri="{C3380CC4-5D6E-409C-BE32-E72D297353CC}">
              <c16:uniqueId val="{00000000-EDA9-447A-B34A-7F5482B615D8}"/>
            </c:ext>
          </c:extLst>
        </c:ser>
        <c:ser>
          <c:idx val="1"/>
          <c:order val="1"/>
          <c:tx>
            <c:strRef>
              <c:f>'May 6, 2022'!$C$2:$C$3</c:f>
              <c:strCache>
                <c:ptCount val="2"/>
                <c:pt idx="0">
                  <c:v>Total ICU</c:v>
                </c:pt>
                <c:pt idx="1">
                  <c:v>423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6,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6, 2022'!$C$4:$C$16</c:f>
              <c:numCache>
                <c:formatCode>General</c:formatCode>
                <c:ptCount val="13"/>
                <c:pt idx="0">
                  <c:v>39</c:v>
                </c:pt>
                <c:pt idx="1">
                  <c:v>46</c:v>
                </c:pt>
                <c:pt idx="2">
                  <c:v>210</c:v>
                </c:pt>
                <c:pt idx="3">
                  <c:v>60</c:v>
                </c:pt>
                <c:pt idx="4">
                  <c:v>17</c:v>
                </c:pt>
                <c:pt idx="5">
                  <c:v>13</c:v>
                </c:pt>
                <c:pt idx="6">
                  <c:v>12</c:v>
                </c:pt>
                <c:pt idx="7">
                  <c:v>0</c:v>
                </c:pt>
                <c:pt idx="8">
                  <c:v>20</c:v>
                </c:pt>
                <c:pt idx="9">
                  <c:v>5</c:v>
                </c:pt>
                <c:pt idx="10">
                  <c:v>1</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35191440"/>
        <c:axId val="435191048"/>
      </c:barChart>
      <c:catAx>
        <c:axId val="43519144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35191048"/>
        <c:crosses val="autoZero"/>
        <c:auto val="1"/>
        <c:lblAlgn val="ctr"/>
        <c:lblOffset val="100"/>
        <c:noMultiLvlLbl val="0"/>
      </c:catAx>
      <c:valAx>
        <c:axId val="43519104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35191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2021-03-22</a:t>
            </a:r>
          </a:p>
        </c:rich>
      </c:tx>
      <c:layout>
        <c:manualLayout>
          <c:xMode val="edge"/>
          <c:yMode val="edge"/>
          <c:x val="0.1254534078476702"/>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'March 22, 2021'!$B$2:$B$3</c:f>
              <c:strCache>
                <c:ptCount val="2"/>
                <c:pt idx="0">
                  <c:v>Total Hospital</c:v>
                </c:pt>
                <c:pt idx="1">
                  <c:v>2151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22,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22, 2021'!$B$4:$B$16</c:f>
              <c:numCache>
                <c:formatCode>General</c:formatCode>
                <c:ptCount val="13"/>
                <c:pt idx="0">
                  <c:v>292</c:v>
                </c:pt>
                <c:pt idx="1">
                  <c:v>282</c:v>
                </c:pt>
                <c:pt idx="2" formatCode="0">
                  <c:v>813</c:v>
                </c:pt>
                <c:pt idx="3" formatCode="#,##0">
                  <c:v>513</c:v>
                </c:pt>
                <c:pt idx="4">
                  <c:v>0</c:v>
                </c:pt>
                <c:pt idx="5">
                  <c:v>2</c:v>
                </c:pt>
                <c:pt idx="6">
                  <c:v>138</c:v>
                </c:pt>
                <c:pt idx="7">
                  <c:v>0</c:v>
                </c:pt>
                <c:pt idx="8">
                  <c:v>110</c:v>
                </c:pt>
                <c:pt idx="9">
                  <c:v>1</c:v>
                </c:pt>
                <c:pt idx="10">
                  <c:v>0</c:v>
                </c:pt>
                <c:pt idx="11">
                  <c:v>0</c:v>
                </c:pt>
                <c:pt idx="12">
                  <c:v>0</c:v>
                </c:pt>
              </c:numCache>
            </c:numRef>
          </c:val>
          <c:extLst>
            <c:ext xmlns:c16="http://schemas.microsoft.com/office/drawing/2014/chart" uri="{C3380CC4-5D6E-409C-BE32-E72D297353CC}">
              <c16:uniqueId val="{00000000-A91A-4852-BD9B-54C6292F07AD}"/>
            </c:ext>
          </c:extLst>
        </c:ser>
        <c:ser>
          <c:idx val="1"/>
          <c:order val="1"/>
          <c:tx>
            <c:strRef>
              <c:f>'March 22, 2021'!$C$2:$C$3</c:f>
              <c:strCache>
                <c:ptCount val="2"/>
                <c:pt idx="0">
                  <c:v>Total ICU</c:v>
                </c:pt>
                <c:pt idx="1">
                  <c:v>598</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1A-4852-BD9B-54C6292F07A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22,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22, 2021'!$C$4:$C$16</c:f>
              <c:numCache>
                <c:formatCode>General</c:formatCode>
                <c:ptCount val="13"/>
                <c:pt idx="0">
                  <c:v>85</c:v>
                </c:pt>
                <c:pt idx="1">
                  <c:v>47</c:v>
                </c:pt>
                <c:pt idx="2">
                  <c:v>298</c:v>
                </c:pt>
                <c:pt idx="3">
                  <c:v>114</c:v>
                </c:pt>
                <c:pt idx="4">
                  <c:v>0</c:v>
                </c:pt>
                <c:pt idx="5">
                  <c:v>0</c:v>
                </c:pt>
                <c:pt idx="6">
                  <c:v>25</c:v>
                </c:pt>
                <c:pt idx="7">
                  <c:v>0</c:v>
                </c:pt>
                <c:pt idx="8">
                  <c:v>29</c:v>
                </c:pt>
                <c:pt idx="9">
                  <c:v>0</c:v>
                </c:pt>
                <c:pt idx="10">
                  <c:v>0</c:v>
                </c:pt>
                <c:pt idx="11">
                  <c:v>0</c:v>
                </c:pt>
                <c:pt idx="12">
                  <c:v>0</c:v>
                </c:pt>
              </c:numCache>
            </c:numRef>
          </c:val>
          <c:extLst>
            <c:ext xmlns:c16="http://schemas.microsoft.com/office/drawing/2014/chart" uri="{C3380CC4-5D6E-409C-BE32-E72D297353CC}">
              <c16:uniqueId val="{00000002-A91A-4852-BD9B-54C6292F07AD}"/>
            </c:ext>
          </c:extLst>
        </c:ser>
        <c:dLbls>
          <c:dLblPos val="outEnd"/>
          <c:showLegendKey val="0"/>
          <c:showVal val="1"/>
          <c:showCatName val="0"/>
          <c:showSerName val="0"/>
          <c:showPercent val="0"/>
          <c:showBubbleSize val="0"/>
        </c:dLbls>
        <c:gapWidth val="100"/>
        <c:overlap val="-24"/>
        <c:axId val="514304928"/>
        <c:axId val="514298656"/>
      </c:barChart>
      <c:catAx>
        <c:axId val="51430492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98656"/>
        <c:crosses val="autoZero"/>
        <c:auto val="1"/>
        <c:lblAlgn val="ctr"/>
        <c:lblOffset val="100"/>
        <c:noMultiLvlLbl val="0"/>
      </c:catAx>
      <c:valAx>
        <c:axId val="51429865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049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2021-03-19</a:t>
            </a:r>
          </a:p>
        </c:rich>
      </c:tx>
      <c:layout>
        <c:manualLayout>
          <c:xMode val="edge"/>
          <c:yMode val="edge"/>
          <c:x val="0.1254534078476702"/>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'March 19, 2021'!$B$2:$B$3</c:f>
              <c:strCache>
                <c:ptCount val="2"/>
                <c:pt idx="0">
                  <c:v>Total Hospital</c:v>
                </c:pt>
                <c:pt idx="1">
                  <c:v>2070</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19,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19, 2021'!$B$4:$B$16</c:f>
              <c:numCache>
                <c:formatCode>General</c:formatCode>
                <c:ptCount val="13"/>
                <c:pt idx="0">
                  <c:v>286</c:v>
                </c:pt>
                <c:pt idx="1">
                  <c:v>264</c:v>
                </c:pt>
                <c:pt idx="2" formatCode="0">
                  <c:v>759</c:v>
                </c:pt>
                <c:pt idx="3" formatCode="#,##0">
                  <c:v>504</c:v>
                </c:pt>
                <c:pt idx="4">
                  <c:v>0</c:v>
                </c:pt>
                <c:pt idx="5">
                  <c:v>1</c:v>
                </c:pt>
                <c:pt idx="6">
                  <c:v>146</c:v>
                </c:pt>
                <c:pt idx="7">
                  <c:v>0</c:v>
                </c:pt>
                <c:pt idx="8">
                  <c:v>109</c:v>
                </c:pt>
                <c:pt idx="9">
                  <c:v>1</c:v>
                </c:pt>
                <c:pt idx="10">
                  <c:v>0</c:v>
                </c:pt>
                <c:pt idx="11">
                  <c:v>0</c:v>
                </c:pt>
                <c:pt idx="12">
                  <c:v>0</c:v>
                </c:pt>
              </c:numCache>
            </c:numRef>
          </c:val>
          <c:extLst>
            <c:ext xmlns:c16="http://schemas.microsoft.com/office/drawing/2014/chart" uri="{C3380CC4-5D6E-409C-BE32-E72D297353CC}">
              <c16:uniqueId val="{00000000-1828-4F0F-849D-F4631F6F341C}"/>
            </c:ext>
          </c:extLst>
        </c:ser>
        <c:ser>
          <c:idx val="1"/>
          <c:order val="1"/>
          <c:tx>
            <c:strRef>
              <c:f>'March 19, 2021'!$C$2:$C$3</c:f>
              <c:strCache>
                <c:ptCount val="2"/>
                <c:pt idx="0">
                  <c:v>Total ICU</c:v>
                </c:pt>
                <c:pt idx="1">
                  <c:v>586</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828-4F0F-849D-F4631F6F341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19,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19, 2021'!$C$4:$C$16</c:f>
              <c:numCache>
                <c:formatCode>General</c:formatCode>
                <c:ptCount val="13"/>
                <c:pt idx="0">
                  <c:v>85</c:v>
                </c:pt>
                <c:pt idx="1">
                  <c:v>43</c:v>
                </c:pt>
                <c:pt idx="2">
                  <c:v>309</c:v>
                </c:pt>
                <c:pt idx="3">
                  <c:v>99</c:v>
                </c:pt>
                <c:pt idx="4">
                  <c:v>0</c:v>
                </c:pt>
                <c:pt idx="5">
                  <c:v>0</c:v>
                </c:pt>
                <c:pt idx="6">
                  <c:v>23</c:v>
                </c:pt>
                <c:pt idx="7">
                  <c:v>0</c:v>
                </c:pt>
                <c:pt idx="8">
                  <c:v>27</c:v>
                </c:pt>
                <c:pt idx="9">
                  <c:v>0</c:v>
                </c:pt>
                <c:pt idx="10">
                  <c:v>0</c:v>
                </c:pt>
                <c:pt idx="11">
                  <c:v>0</c:v>
                </c:pt>
                <c:pt idx="12">
                  <c:v>0</c:v>
                </c:pt>
              </c:numCache>
            </c:numRef>
          </c:val>
          <c:extLst>
            <c:ext xmlns:c16="http://schemas.microsoft.com/office/drawing/2014/chart" uri="{C3380CC4-5D6E-409C-BE32-E72D297353CC}">
              <c16:uniqueId val="{00000002-1828-4F0F-849D-F4631F6F341C}"/>
            </c:ext>
          </c:extLst>
        </c:ser>
        <c:dLbls>
          <c:dLblPos val="outEnd"/>
          <c:showLegendKey val="0"/>
          <c:showVal val="1"/>
          <c:showCatName val="0"/>
          <c:showSerName val="0"/>
          <c:showPercent val="0"/>
          <c:showBubbleSize val="0"/>
        </c:dLbls>
        <c:gapWidth val="100"/>
        <c:overlap val="-24"/>
        <c:axId val="514299048"/>
        <c:axId val="514295128"/>
      </c:barChart>
      <c:catAx>
        <c:axId val="51429904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95128"/>
        <c:crosses val="autoZero"/>
        <c:auto val="1"/>
        <c:lblAlgn val="ctr"/>
        <c:lblOffset val="100"/>
        <c:noMultiLvlLbl val="0"/>
      </c:catAx>
      <c:valAx>
        <c:axId val="51429512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99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2021-03-17</a:t>
            </a:r>
          </a:p>
        </c:rich>
      </c:tx>
      <c:layout>
        <c:manualLayout>
          <c:xMode val="edge"/>
          <c:yMode val="edge"/>
          <c:x val="0.1254534078476702"/>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'March 17, 2021'!$B$2:$B$3</c:f>
              <c:strCache>
                <c:ptCount val="2"/>
                <c:pt idx="0">
                  <c:v>Total Hospital</c:v>
                </c:pt>
                <c:pt idx="1">
                  <c:v>2105</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17,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17, 2021'!$B$4:$B$16</c:f>
              <c:numCache>
                <c:formatCode>General</c:formatCode>
                <c:ptCount val="13"/>
                <c:pt idx="0">
                  <c:v>280</c:v>
                </c:pt>
                <c:pt idx="1">
                  <c:v>260</c:v>
                </c:pt>
                <c:pt idx="2" formatCode="0">
                  <c:v>741</c:v>
                </c:pt>
                <c:pt idx="3" formatCode="#,##0">
                  <c:v>532</c:v>
                </c:pt>
                <c:pt idx="4">
                  <c:v>1</c:v>
                </c:pt>
                <c:pt idx="5">
                  <c:v>1</c:v>
                </c:pt>
                <c:pt idx="6">
                  <c:v>149</c:v>
                </c:pt>
                <c:pt idx="7">
                  <c:v>0</c:v>
                </c:pt>
                <c:pt idx="8">
                  <c:v>139</c:v>
                </c:pt>
                <c:pt idx="9">
                  <c:v>2</c:v>
                </c:pt>
                <c:pt idx="10">
                  <c:v>0</c:v>
                </c:pt>
                <c:pt idx="11">
                  <c:v>0</c:v>
                </c:pt>
                <c:pt idx="12">
                  <c:v>0</c:v>
                </c:pt>
              </c:numCache>
            </c:numRef>
          </c:val>
          <c:extLst>
            <c:ext xmlns:c16="http://schemas.microsoft.com/office/drawing/2014/chart" uri="{C3380CC4-5D6E-409C-BE32-E72D297353CC}">
              <c16:uniqueId val="{00000000-7C08-4DBF-930D-D4560E71A0B1}"/>
            </c:ext>
          </c:extLst>
        </c:ser>
        <c:ser>
          <c:idx val="1"/>
          <c:order val="1"/>
          <c:tx>
            <c:strRef>
              <c:f>'March 17, 2021'!$C$2:$C$3</c:f>
              <c:strCache>
                <c:ptCount val="2"/>
                <c:pt idx="0">
                  <c:v>Total ICU</c:v>
                </c:pt>
                <c:pt idx="1">
                  <c:v>587</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C08-4DBF-930D-D4560E71A0B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17,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17, 2021'!$C$4:$C$16</c:f>
              <c:numCache>
                <c:formatCode>General</c:formatCode>
                <c:ptCount val="13"/>
                <c:pt idx="0">
                  <c:v>84</c:v>
                </c:pt>
                <c:pt idx="1">
                  <c:v>44</c:v>
                </c:pt>
                <c:pt idx="2">
                  <c:v>300</c:v>
                </c:pt>
                <c:pt idx="3">
                  <c:v>107</c:v>
                </c:pt>
                <c:pt idx="4">
                  <c:v>0</c:v>
                </c:pt>
                <c:pt idx="5">
                  <c:v>0</c:v>
                </c:pt>
                <c:pt idx="6">
                  <c:v>21</c:v>
                </c:pt>
                <c:pt idx="7">
                  <c:v>0</c:v>
                </c:pt>
                <c:pt idx="8">
                  <c:v>31</c:v>
                </c:pt>
                <c:pt idx="9">
                  <c:v>0</c:v>
                </c:pt>
                <c:pt idx="10">
                  <c:v>0</c:v>
                </c:pt>
                <c:pt idx="11">
                  <c:v>0</c:v>
                </c:pt>
                <c:pt idx="12">
                  <c:v>0</c:v>
                </c:pt>
              </c:numCache>
            </c:numRef>
          </c:val>
          <c:extLst>
            <c:ext xmlns:c16="http://schemas.microsoft.com/office/drawing/2014/chart" uri="{C3380CC4-5D6E-409C-BE32-E72D297353CC}">
              <c16:uniqueId val="{00000002-7C08-4DBF-930D-D4560E71A0B1}"/>
            </c:ext>
          </c:extLst>
        </c:ser>
        <c:dLbls>
          <c:dLblPos val="outEnd"/>
          <c:showLegendKey val="0"/>
          <c:showVal val="1"/>
          <c:showCatName val="0"/>
          <c:showSerName val="0"/>
          <c:showPercent val="0"/>
          <c:showBubbleSize val="0"/>
        </c:dLbls>
        <c:gapWidth val="100"/>
        <c:overlap val="-24"/>
        <c:axId val="514306496"/>
        <c:axId val="514295520"/>
      </c:barChart>
      <c:catAx>
        <c:axId val="51430649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95520"/>
        <c:crosses val="autoZero"/>
        <c:auto val="1"/>
        <c:lblAlgn val="ctr"/>
        <c:lblOffset val="100"/>
        <c:noMultiLvlLbl val="0"/>
      </c:catAx>
      <c:valAx>
        <c:axId val="51429552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06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2021-03-15</a:t>
            </a:r>
          </a:p>
        </c:rich>
      </c:tx>
      <c:layout>
        <c:manualLayout>
          <c:xMode val="edge"/>
          <c:yMode val="edge"/>
          <c:x val="0.1254534078476702"/>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'March 15, 2021'!$B$2:$B$3</c:f>
              <c:strCache>
                <c:ptCount val="2"/>
                <c:pt idx="0">
                  <c:v>Total Hospital</c:v>
                </c:pt>
                <c:pt idx="1">
                  <c:v>2047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15,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15, 2021'!$B$4:$B$16</c:f>
              <c:numCache>
                <c:formatCode>General</c:formatCode>
                <c:ptCount val="13"/>
                <c:pt idx="0">
                  <c:v>255</c:v>
                </c:pt>
                <c:pt idx="1">
                  <c:v>248</c:v>
                </c:pt>
                <c:pt idx="2" formatCode="0">
                  <c:v>699</c:v>
                </c:pt>
                <c:pt idx="3" formatCode="#,##0">
                  <c:v>553</c:v>
                </c:pt>
                <c:pt idx="4">
                  <c:v>0</c:v>
                </c:pt>
                <c:pt idx="5">
                  <c:v>1</c:v>
                </c:pt>
                <c:pt idx="6">
                  <c:v>151</c:v>
                </c:pt>
                <c:pt idx="7">
                  <c:v>0</c:v>
                </c:pt>
                <c:pt idx="8">
                  <c:v>137</c:v>
                </c:pt>
                <c:pt idx="9">
                  <c:v>3</c:v>
                </c:pt>
                <c:pt idx="10">
                  <c:v>0</c:v>
                </c:pt>
                <c:pt idx="11">
                  <c:v>0</c:v>
                </c:pt>
                <c:pt idx="12">
                  <c:v>0</c:v>
                </c:pt>
              </c:numCache>
            </c:numRef>
          </c:val>
          <c:extLst>
            <c:ext xmlns:c16="http://schemas.microsoft.com/office/drawing/2014/chart" uri="{C3380CC4-5D6E-409C-BE32-E72D297353CC}">
              <c16:uniqueId val="{00000000-7C08-4DBF-930D-D4560E71A0B1}"/>
            </c:ext>
          </c:extLst>
        </c:ser>
        <c:ser>
          <c:idx val="1"/>
          <c:order val="1"/>
          <c:tx>
            <c:strRef>
              <c:f>'March 15, 2021'!$C$2:$C$3</c:f>
              <c:strCache>
                <c:ptCount val="2"/>
                <c:pt idx="0">
                  <c:v>Total ICU</c:v>
                </c:pt>
                <c:pt idx="1">
                  <c:v>553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C08-4DBF-930D-D4560E71A0B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15,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15, 2021'!$C$4:$C$16</c:f>
              <c:numCache>
                <c:formatCode>General</c:formatCode>
                <c:ptCount val="13"/>
                <c:pt idx="0">
                  <c:v>67</c:v>
                </c:pt>
                <c:pt idx="1">
                  <c:v>38</c:v>
                </c:pt>
                <c:pt idx="2">
                  <c:v>298</c:v>
                </c:pt>
                <c:pt idx="3">
                  <c:v>96</c:v>
                </c:pt>
                <c:pt idx="4">
                  <c:v>1</c:v>
                </c:pt>
                <c:pt idx="5">
                  <c:v>0</c:v>
                </c:pt>
                <c:pt idx="6">
                  <c:v>23</c:v>
                </c:pt>
                <c:pt idx="7">
                  <c:v>0</c:v>
                </c:pt>
                <c:pt idx="8">
                  <c:v>30</c:v>
                </c:pt>
                <c:pt idx="9">
                  <c:v>0</c:v>
                </c:pt>
                <c:pt idx="10">
                  <c:v>0</c:v>
                </c:pt>
                <c:pt idx="11">
                  <c:v>0</c:v>
                </c:pt>
                <c:pt idx="12">
                  <c:v>0</c:v>
                </c:pt>
              </c:numCache>
            </c:numRef>
          </c:val>
          <c:extLst>
            <c:ext xmlns:c16="http://schemas.microsoft.com/office/drawing/2014/chart" uri="{C3380CC4-5D6E-409C-BE32-E72D297353CC}">
              <c16:uniqueId val="{00000002-7C08-4DBF-930D-D4560E71A0B1}"/>
            </c:ext>
          </c:extLst>
        </c:ser>
        <c:dLbls>
          <c:dLblPos val="outEnd"/>
          <c:showLegendKey val="0"/>
          <c:showVal val="1"/>
          <c:showCatName val="0"/>
          <c:showSerName val="0"/>
          <c:showPercent val="0"/>
          <c:showBubbleSize val="0"/>
        </c:dLbls>
        <c:gapWidth val="100"/>
        <c:overlap val="-24"/>
        <c:axId val="514302184"/>
        <c:axId val="514299440"/>
      </c:barChart>
      <c:catAx>
        <c:axId val="51430218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99440"/>
        <c:crosses val="autoZero"/>
        <c:auto val="1"/>
        <c:lblAlgn val="ctr"/>
        <c:lblOffset val="100"/>
        <c:noMultiLvlLbl val="0"/>
      </c:catAx>
      <c:valAx>
        <c:axId val="51429944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02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2021-03-12</a:t>
            </a:r>
          </a:p>
        </c:rich>
      </c:tx>
      <c:layout>
        <c:manualLayout>
          <c:xMode val="edge"/>
          <c:yMode val="edge"/>
          <c:x val="0.1254534078476702"/>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'March 12, 2021'!$B$2:$B$3</c:f>
              <c:strCache>
                <c:ptCount val="2"/>
                <c:pt idx="0">
                  <c:v>Total Hospital</c:v>
                </c:pt>
                <c:pt idx="1">
                  <c:v>2017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12,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12, 2021'!$B$4:$B$16</c:f>
              <c:numCache>
                <c:formatCode>General</c:formatCode>
                <c:ptCount val="13"/>
                <c:pt idx="0">
                  <c:v>244</c:v>
                </c:pt>
                <c:pt idx="1">
                  <c:v>259</c:v>
                </c:pt>
                <c:pt idx="2" formatCode="0">
                  <c:v>676</c:v>
                </c:pt>
                <c:pt idx="3" formatCode="#,##0">
                  <c:v>550</c:v>
                </c:pt>
                <c:pt idx="4">
                  <c:v>1</c:v>
                </c:pt>
                <c:pt idx="5">
                  <c:v>1</c:v>
                </c:pt>
                <c:pt idx="6">
                  <c:v>154</c:v>
                </c:pt>
                <c:pt idx="7">
                  <c:v>0</c:v>
                </c:pt>
                <c:pt idx="8">
                  <c:v>129</c:v>
                </c:pt>
                <c:pt idx="9">
                  <c:v>3</c:v>
                </c:pt>
                <c:pt idx="10">
                  <c:v>0</c:v>
                </c:pt>
                <c:pt idx="11">
                  <c:v>0</c:v>
                </c:pt>
                <c:pt idx="12">
                  <c:v>0</c:v>
                </c:pt>
              </c:numCache>
            </c:numRef>
          </c:val>
          <c:extLst>
            <c:ext xmlns:c16="http://schemas.microsoft.com/office/drawing/2014/chart" uri="{C3380CC4-5D6E-409C-BE32-E72D297353CC}">
              <c16:uniqueId val="{00000000-7C08-4DBF-930D-D4560E71A0B1}"/>
            </c:ext>
          </c:extLst>
        </c:ser>
        <c:ser>
          <c:idx val="1"/>
          <c:order val="1"/>
          <c:tx>
            <c:strRef>
              <c:f>'March 12, 2021'!$C$2:$C$3</c:f>
              <c:strCache>
                <c:ptCount val="2"/>
                <c:pt idx="0">
                  <c:v>Total ICU</c:v>
                </c:pt>
                <c:pt idx="1">
                  <c:v>543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C08-4DBF-930D-D4560E71A0B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12,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12, 2021'!$C$4:$C$16</c:f>
              <c:numCache>
                <c:formatCode>General</c:formatCode>
                <c:ptCount val="13"/>
                <c:pt idx="0">
                  <c:v>68</c:v>
                </c:pt>
                <c:pt idx="1">
                  <c:v>38</c:v>
                </c:pt>
                <c:pt idx="2">
                  <c:v>282</c:v>
                </c:pt>
                <c:pt idx="3">
                  <c:v>106</c:v>
                </c:pt>
                <c:pt idx="4">
                  <c:v>0</c:v>
                </c:pt>
                <c:pt idx="5">
                  <c:v>0</c:v>
                </c:pt>
                <c:pt idx="6">
                  <c:v>22</c:v>
                </c:pt>
                <c:pt idx="7">
                  <c:v>0</c:v>
                </c:pt>
                <c:pt idx="8">
                  <c:v>27</c:v>
                </c:pt>
                <c:pt idx="9">
                  <c:v>0</c:v>
                </c:pt>
                <c:pt idx="10">
                  <c:v>0</c:v>
                </c:pt>
                <c:pt idx="11">
                  <c:v>0</c:v>
                </c:pt>
                <c:pt idx="12">
                  <c:v>0</c:v>
                </c:pt>
              </c:numCache>
            </c:numRef>
          </c:val>
          <c:extLst>
            <c:ext xmlns:c16="http://schemas.microsoft.com/office/drawing/2014/chart" uri="{C3380CC4-5D6E-409C-BE32-E72D297353CC}">
              <c16:uniqueId val="{00000002-7C08-4DBF-930D-D4560E71A0B1}"/>
            </c:ext>
          </c:extLst>
        </c:ser>
        <c:dLbls>
          <c:dLblPos val="outEnd"/>
          <c:showLegendKey val="0"/>
          <c:showVal val="1"/>
          <c:showCatName val="0"/>
          <c:showSerName val="0"/>
          <c:showPercent val="0"/>
          <c:showBubbleSize val="0"/>
        </c:dLbls>
        <c:gapWidth val="100"/>
        <c:overlap val="-24"/>
        <c:axId val="514303360"/>
        <c:axId val="514304536"/>
      </c:barChart>
      <c:catAx>
        <c:axId val="51430336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04536"/>
        <c:crosses val="autoZero"/>
        <c:auto val="1"/>
        <c:lblAlgn val="ctr"/>
        <c:lblOffset val="100"/>
        <c:noMultiLvlLbl val="0"/>
      </c:catAx>
      <c:valAx>
        <c:axId val="51430453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03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2021-03-05</a:t>
            </a:r>
          </a:p>
        </c:rich>
      </c:tx>
      <c:layout>
        <c:manualLayout>
          <c:xMode val="edge"/>
          <c:yMode val="edge"/>
          <c:x val="0.1254534078476702"/>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'March 5, 2021'!$B$2:$B$3</c:f>
              <c:strCache>
                <c:ptCount val="2"/>
                <c:pt idx="0">
                  <c:v>Total Hospital</c:v>
                </c:pt>
                <c:pt idx="1">
                  <c:v>2074</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5,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5, 2021'!$B$4:$B$16</c:f>
              <c:numCache>
                <c:formatCode>General</c:formatCode>
                <c:ptCount val="13"/>
                <c:pt idx="0">
                  <c:v>248</c:v>
                </c:pt>
                <c:pt idx="1">
                  <c:v>245</c:v>
                </c:pt>
                <c:pt idx="2" formatCode="0">
                  <c:v>643</c:v>
                </c:pt>
                <c:pt idx="3" formatCode="#,##0">
                  <c:v>617</c:v>
                </c:pt>
                <c:pt idx="4">
                  <c:v>2</c:v>
                </c:pt>
                <c:pt idx="5">
                  <c:v>3</c:v>
                </c:pt>
                <c:pt idx="6">
                  <c:v>171</c:v>
                </c:pt>
                <c:pt idx="7">
                  <c:v>0</c:v>
                </c:pt>
                <c:pt idx="8">
                  <c:v>138</c:v>
                </c:pt>
                <c:pt idx="9">
                  <c:v>7</c:v>
                </c:pt>
                <c:pt idx="10">
                  <c:v>0</c:v>
                </c:pt>
                <c:pt idx="11">
                  <c:v>0</c:v>
                </c:pt>
                <c:pt idx="12">
                  <c:v>0</c:v>
                </c:pt>
              </c:numCache>
            </c:numRef>
          </c:val>
          <c:extLst>
            <c:ext xmlns:c16="http://schemas.microsoft.com/office/drawing/2014/chart" uri="{C3380CC4-5D6E-409C-BE32-E72D297353CC}">
              <c16:uniqueId val="{00000000-7C08-4DBF-930D-D4560E71A0B1}"/>
            </c:ext>
          </c:extLst>
        </c:ser>
        <c:ser>
          <c:idx val="1"/>
          <c:order val="1"/>
          <c:tx>
            <c:strRef>
              <c:f>'March 5, 2021'!$C$2:$C$3</c:f>
              <c:strCache>
                <c:ptCount val="2"/>
                <c:pt idx="0">
                  <c:v>Total ICU</c:v>
                </c:pt>
                <c:pt idx="1">
                  <c:v>549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C08-4DBF-930D-D4560E71A0B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5,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5, 2021'!$C$4:$C$16</c:f>
              <c:numCache>
                <c:formatCode>General</c:formatCode>
                <c:ptCount val="13"/>
                <c:pt idx="0">
                  <c:v>64</c:v>
                </c:pt>
                <c:pt idx="1">
                  <c:v>47</c:v>
                </c:pt>
                <c:pt idx="2">
                  <c:v>280</c:v>
                </c:pt>
                <c:pt idx="3">
                  <c:v>111</c:v>
                </c:pt>
                <c:pt idx="4">
                  <c:v>1</c:v>
                </c:pt>
                <c:pt idx="5">
                  <c:v>2</c:v>
                </c:pt>
                <c:pt idx="6">
                  <c:v>24</c:v>
                </c:pt>
                <c:pt idx="7">
                  <c:v>0</c:v>
                </c:pt>
                <c:pt idx="8">
                  <c:v>20</c:v>
                </c:pt>
                <c:pt idx="9">
                  <c:v>0</c:v>
                </c:pt>
                <c:pt idx="10">
                  <c:v>0</c:v>
                </c:pt>
                <c:pt idx="11">
                  <c:v>0</c:v>
                </c:pt>
                <c:pt idx="12">
                  <c:v>0</c:v>
                </c:pt>
              </c:numCache>
            </c:numRef>
          </c:val>
          <c:extLst>
            <c:ext xmlns:c16="http://schemas.microsoft.com/office/drawing/2014/chart" uri="{C3380CC4-5D6E-409C-BE32-E72D297353CC}">
              <c16:uniqueId val="{00000002-7C08-4DBF-930D-D4560E71A0B1}"/>
            </c:ext>
          </c:extLst>
        </c:ser>
        <c:dLbls>
          <c:dLblPos val="outEnd"/>
          <c:showLegendKey val="0"/>
          <c:showVal val="1"/>
          <c:showCatName val="0"/>
          <c:showSerName val="0"/>
          <c:showPercent val="0"/>
          <c:showBubbleSize val="0"/>
        </c:dLbls>
        <c:gapWidth val="100"/>
        <c:overlap val="-24"/>
        <c:axId val="514305320"/>
        <c:axId val="514305712"/>
      </c:barChart>
      <c:catAx>
        <c:axId val="51430532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05712"/>
        <c:crosses val="autoZero"/>
        <c:auto val="1"/>
        <c:lblAlgn val="ctr"/>
        <c:lblOffset val="100"/>
        <c:noMultiLvlLbl val="0"/>
      </c:catAx>
      <c:valAx>
        <c:axId val="51430571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053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2021-03-03</a:t>
            </a:r>
          </a:p>
        </c:rich>
      </c:tx>
      <c:layout>
        <c:manualLayout>
          <c:xMode val="edge"/>
          <c:yMode val="edge"/>
          <c:x val="0.1254534078476702"/>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'March 3, 2021'!$B$2:$B$3</c:f>
              <c:strCache>
                <c:ptCount val="2"/>
                <c:pt idx="0">
                  <c:v>Total Hospital</c:v>
                </c:pt>
                <c:pt idx="1">
                  <c:v>2164</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3,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3, 2021'!$B$4:$B$16</c:f>
              <c:numCache>
                <c:formatCode>General</c:formatCode>
                <c:ptCount val="13"/>
                <c:pt idx="0">
                  <c:v>243</c:v>
                </c:pt>
                <c:pt idx="1">
                  <c:v>261</c:v>
                </c:pt>
                <c:pt idx="2" formatCode="0">
                  <c:v>677</c:v>
                </c:pt>
                <c:pt idx="3" formatCode="#,##0">
                  <c:v>628</c:v>
                </c:pt>
                <c:pt idx="4">
                  <c:v>2</c:v>
                </c:pt>
                <c:pt idx="5">
                  <c:v>3</c:v>
                </c:pt>
                <c:pt idx="6">
                  <c:v>187</c:v>
                </c:pt>
                <c:pt idx="7">
                  <c:v>0</c:v>
                </c:pt>
                <c:pt idx="8">
                  <c:v>154</c:v>
                </c:pt>
                <c:pt idx="9">
                  <c:v>9</c:v>
                </c:pt>
                <c:pt idx="10">
                  <c:v>0</c:v>
                </c:pt>
                <c:pt idx="11">
                  <c:v>0</c:v>
                </c:pt>
                <c:pt idx="12">
                  <c:v>0</c:v>
                </c:pt>
              </c:numCache>
            </c:numRef>
          </c:val>
          <c:extLst>
            <c:ext xmlns:c16="http://schemas.microsoft.com/office/drawing/2014/chart" uri="{C3380CC4-5D6E-409C-BE32-E72D297353CC}">
              <c16:uniqueId val="{00000000-AE51-479D-B918-4CB43FDE2FDF}"/>
            </c:ext>
          </c:extLst>
        </c:ser>
        <c:ser>
          <c:idx val="1"/>
          <c:order val="1"/>
          <c:tx>
            <c:strRef>
              <c:f>'March 3, 2021'!$C$2:$C$3</c:f>
              <c:strCache>
                <c:ptCount val="2"/>
                <c:pt idx="0">
                  <c:v>Total ICU</c:v>
                </c:pt>
                <c:pt idx="1">
                  <c:v>572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E51-479D-B918-4CB43FDE2FD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3,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3, 2021'!$C$4:$C$16</c:f>
              <c:numCache>
                <c:formatCode>General</c:formatCode>
                <c:ptCount val="13"/>
                <c:pt idx="0">
                  <c:v>63</c:v>
                </c:pt>
                <c:pt idx="1">
                  <c:v>54</c:v>
                </c:pt>
                <c:pt idx="2">
                  <c:v>284</c:v>
                </c:pt>
                <c:pt idx="3">
                  <c:v>121</c:v>
                </c:pt>
                <c:pt idx="4">
                  <c:v>2</c:v>
                </c:pt>
                <c:pt idx="5">
                  <c:v>3</c:v>
                </c:pt>
                <c:pt idx="6">
                  <c:v>25</c:v>
                </c:pt>
                <c:pt idx="7">
                  <c:v>0</c:v>
                </c:pt>
                <c:pt idx="8">
                  <c:v>20</c:v>
                </c:pt>
                <c:pt idx="9">
                  <c:v>0</c:v>
                </c:pt>
                <c:pt idx="10">
                  <c:v>0</c:v>
                </c:pt>
                <c:pt idx="11">
                  <c:v>0</c:v>
                </c:pt>
                <c:pt idx="12">
                  <c:v>0</c:v>
                </c:pt>
              </c:numCache>
            </c:numRef>
          </c:val>
          <c:extLst>
            <c:ext xmlns:c16="http://schemas.microsoft.com/office/drawing/2014/chart" uri="{C3380CC4-5D6E-409C-BE32-E72D297353CC}">
              <c16:uniqueId val="{00000002-AE51-479D-B918-4CB43FDE2FDF}"/>
            </c:ext>
          </c:extLst>
        </c:ser>
        <c:dLbls>
          <c:dLblPos val="outEnd"/>
          <c:showLegendKey val="0"/>
          <c:showVal val="1"/>
          <c:showCatName val="0"/>
          <c:showSerName val="0"/>
          <c:showPercent val="0"/>
          <c:showBubbleSize val="0"/>
        </c:dLbls>
        <c:gapWidth val="100"/>
        <c:overlap val="-24"/>
        <c:axId val="514306104"/>
        <c:axId val="514297872"/>
      </c:barChart>
      <c:catAx>
        <c:axId val="51430610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97872"/>
        <c:crosses val="autoZero"/>
        <c:auto val="1"/>
        <c:lblAlgn val="ctr"/>
        <c:lblOffset val="100"/>
        <c:noMultiLvlLbl val="0"/>
      </c:catAx>
      <c:valAx>
        <c:axId val="51429787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06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2021-03-01</a:t>
            </a:r>
          </a:p>
        </c:rich>
      </c:tx>
      <c:layout>
        <c:manualLayout>
          <c:xMode val="edge"/>
          <c:yMode val="edge"/>
          <c:x val="0.119761317492972"/>
          <c:y val="2.360897109032057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'March 1, 2021'!$B$2:$B$3</c:f>
              <c:strCache>
                <c:ptCount val="2"/>
                <c:pt idx="0">
                  <c:v>Total Hospital</c:v>
                </c:pt>
                <c:pt idx="1">
                  <c:v>2110</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1,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1, 2021'!$B$4:$B$16</c:f>
              <c:numCache>
                <c:formatCode>General</c:formatCode>
                <c:ptCount val="13"/>
                <c:pt idx="0">
                  <c:v>232</c:v>
                </c:pt>
                <c:pt idx="1">
                  <c:v>250</c:v>
                </c:pt>
                <c:pt idx="2" formatCode="0">
                  <c:v>659</c:v>
                </c:pt>
                <c:pt idx="3" formatCode="#,##0">
                  <c:v>612</c:v>
                </c:pt>
                <c:pt idx="4">
                  <c:v>0</c:v>
                </c:pt>
                <c:pt idx="5">
                  <c:v>1</c:v>
                </c:pt>
                <c:pt idx="6">
                  <c:v>192</c:v>
                </c:pt>
                <c:pt idx="7">
                  <c:v>0</c:v>
                </c:pt>
                <c:pt idx="8">
                  <c:v>154</c:v>
                </c:pt>
                <c:pt idx="9">
                  <c:v>10</c:v>
                </c:pt>
                <c:pt idx="10">
                  <c:v>0</c:v>
                </c:pt>
                <c:pt idx="11">
                  <c:v>0</c:v>
                </c:pt>
                <c:pt idx="12">
                  <c:v>0</c:v>
                </c:pt>
              </c:numCache>
            </c:numRef>
          </c:val>
          <c:extLst>
            <c:ext xmlns:c16="http://schemas.microsoft.com/office/drawing/2014/chart" uri="{C3380CC4-5D6E-409C-BE32-E72D297353CC}">
              <c16:uniqueId val="{00000000-1005-4377-93D0-A1A8F70ED612}"/>
            </c:ext>
          </c:extLst>
        </c:ser>
        <c:ser>
          <c:idx val="1"/>
          <c:order val="1"/>
          <c:tx>
            <c:strRef>
              <c:f>'March 1, 2021'!$C$2:$C$3</c:f>
              <c:strCache>
                <c:ptCount val="2"/>
                <c:pt idx="0">
                  <c:v>Total ICU</c:v>
                </c:pt>
                <c:pt idx="1">
                  <c:v>559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005-4377-93D0-A1A8F70ED61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1,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1, 2021'!$C$4:$C$16</c:f>
              <c:numCache>
                <c:formatCode>General</c:formatCode>
                <c:ptCount val="13"/>
                <c:pt idx="0">
                  <c:v>63</c:v>
                </c:pt>
                <c:pt idx="1">
                  <c:v>46</c:v>
                </c:pt>
                <c:pt idx="2">
                  <c:v>280</c:v>
                </c:pt>
                <c:pt idx="3">
                  <c:v>122</c:v>
                </c:pt>
                <c:pt idx="4">
                  <c:v>2</c:v>
                </c:pt>
                <c:pt idx="5">
                  <c:v>1</c:v>
                </c:pt>
                <c:pt idx="6">
                  <c:v>26</c:v>
                </c:pt>
                <c:pt idx="7">
                  <c:v>0</c:v>
                </c:pt>
                <c:pt idx="8">
                  <c:v>19</c:v>
                </c:pt>
                <c:pt idx="9">
                  <c:v>0</c:v>
                </c:pt>
                <c:pt idx="10">
                  <c:v>0</c:v>
                </c:pt>
                <c:pt idx="11">
                  <c:v>0</c:v>
                </c:pt>
                <c:pt idx="12">
                  <c:v>0</c:v>
                </c:pt>
              </c:numCache>
            </c:numRef>
          </c:val>
          <c:extLst>
            <c:ext xmlns:c16="http://schemas.microsoft.com/office/drawing/2014/chart" uri="{C3380CC4-5D6E-409C-BE32-E72D297353CC}">
              <c16:uniqueId val="{00000002-1005-4377-93D0-A1A8F70ED612}"/>
            </c:ext>
          </c:extLst>
        </c:ser>
        <c:dLbls>
          <c:dLblPos val="outEnd"/>
          <c:showLegendKey val="0"/>
          <c:showVal val="1"/>
          <c:showCatName val="0"/>
          <c:showSerName val="0"/>
          <c:showPercent val="0"/>
          <c:showBubbleSize val="0"/>
        </c:dLbls>
        <c:gapWidth val="100"/>
        <c:overlap val="-24"/>
        <c:axId val="514296696"/>
        <c:axId val="514300224"/>
      </c:barChart>
      <c:catAx>
        <c:axId val="51429669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00224"/>
        <c:crosses val="autoZero"/>
        <c:auto val="1"/>
        <c:lblAlgn val="ctr"/>
        <c:lblOffset val="100"/>
        <c:noMultiLvlLbl val="0"/>
      </c:catAx>
      <c:valAx>
        <c:axId val="51430022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966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2021-02-26</a:t>
            </a:r>
          </a:p>
        </c:rich>
      </c:tx>
      <c:layout>
        <c:manualLayout>
          <c:xMode val="edge"/>
          <c:yMode val="edge"/>
          <c:x val="0.119761317492972"/>
          <c:y val="2.360897109032057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'February 26, 2021'!$B$2:$B$3</c:f>
              <c:strCache>
                <c:ptCount val="2"/>
                <c:pt idx="0">
                  <c:v>Total Hospital</c:v>
                </c:pt>
                <c:pt idx="1">
                  <c:v>2153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26,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26, 2021'!$B$4:$B$16</c:f>
              <c:numCache>
                <c:formatCode>General</c:formatCode>
                <c:ptCount val="13"/>
                <c:pt idx="0">
                  <c:v>228</c:v>
                </c:pt>
                <c:pt idx="1">
                  <c:v>280</c:v>
                </c:pt>
                <c:pt idx="2" formatCode="0">
                  <c:v>683</c:v>
                </c:pt>
                <c:pt idx="3" formatCode="#,##0">
                  <c:v>620</c:v>
                </c:pt>
                <c:pt idx="4">
                  <c:v>0</c:v>
                </c:pt>
                <c:pt idx="5">
                  <c:v>1</c:v>
                </c:pt>
                <c:pt idx="6">
                  <c:v>191</c:v>
                </c:pt>
                <c:pt idx="7">
                  <c:v>0</c:v>
                </c:pt>
                <c:pt idx="8">
                  <c:v>139</c:v>
                </c:pt>
                <c:pt idx="9">
                  <c:v>11</c:v>
                </c:pt>
                <c:pt idx="10">
                  <c:v>0</c:v>
                </c:pt>
                <c:pt idx="11">
                  <c:v>0</c:v>
                </c:pt>
                <c:pt idx="12">
                  <c:v>0</c:v>
                </c:pt>
              </c:numCache>
            </c:numRef>
          </c:val>
          <c:extLst>
            <c:ext xmlns:c16="http://schemas.microsoft.com/office/drawing/2014/chart" uri="{C3380CC4-5D6E-409C-BE32-E72D297353CC}">
              <c16:uniqueId val="{00000000-22A9-4E2E-ADCD-F850001FAC52}"/>
            </c:ext>
          </c:extLst>
        </c:ser>
        <c:ser>
          <c:idx val="1"/>
          <c:order val="1"/>
          <c:tx>
            <c:strRef>
              <c:f>'February 26, 2021'!$C$2:$C$3</c:f>
              <c:strCache>
                <c:ptCount val="2"/>
                <c:pt idx="0">
                  <c:v>Total ICU</c:v>
                </c:pt>
                <c:pt idx="1">
                  <c:v>567</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2A9-4E2E-ADCD-F850001FAC5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26,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26, 2021'!$C$4:$C$16</c:f>
              <c:numCache>
                <c:formatCode>General</c:formatCode>
                <c:ptCount val="13"/>
                <c:pt idx="0">
                  <c:v>62</c:v>
                </c:pt>
                <c:pt idx="1">
                  <c:v>56</c:v>
                </c:pt>
                <c:pt idx="2">
                  <c:v>284</c:v>
                </c:pt>
                <c:pt idx="3">
                  <c:v>119</c:v>
                </c:pt>
                <c:pt idx="4">
                  <c:v>1</c:v>
                </c:pt>
                <c:pt idx="5">
                  <c:v>1</c:v>
                </c:pt>
                <c:pt idx="6">
                  <c:v>28</c:v>
                </c:pt>
                <c:pt idx="7">
                  <c:v>0</c:v>
                </c:pt>
                <c:pt idx="8">
                  <c:v>16</c:v>
                </c:pt>
                <c:pt idx="9">
                  <c:v>0</c:v>
                </c:pt>
                <c:pt idx="10">
                  <c:v>0</c:v>
                </c:pt>
                <c:pt idx="11">
                  <c:v>0</c:v>
                </c:pt>
                <c:pt idx="12">
                  <c:v>0</c:v>
                </c:pt>
              </c:numCache>
            </c:numRef>
          </c:val>
          <c:extLst>
            <c:ext xmlns:c16="http://schemas.microsoft.com/office/drawing/2014/chart" uri="{C3380CC4-5D6E-409C-BE32-E72D297353CC}">
              <c16:uniqueId val="{00000002-22A9-4E2E-ADCD-F850001FAC52}"/>
            </c:ext>
          </c:extLst>
        </c:ser>
        <c:dLbls>
          <c:dLblPos val="outEnd"/>
          <c:showLegendKey val="0"/>
          <c:showVal val="1"/>
          <c:showCatName val="0"/>
          <c:showSerName val="0"/>
          <c:showPercent val="0"/>
          <c:showBubbleSize val="0"/>
        </c:dLbls>
        <c:gapWidth val="100"/>
        <c:overlap val="-24"/>
        <c:axId val="514299832"/>
        <c:axId val="514300616"/>
      </c:barChart>
      <c:catAx>
        <c:axId val="51429983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00616"/>
        <c:crosses val="autoZero"/>
        <c:auto val="1"/>
        <c:lblAlgn val="ctr"/>
        <c:lblOffset val="100"/>
        <c:noMultiLvlLbl val="0"/>
      </c:catAx>
      <c:valAx>
        <c:axId val="51430061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998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2021-02-24</a:t>
            </a:r>
          </a:p>
        </c:rich>
      </c:tx>
      <c:layout>
        <c:manualLayout>
          <c:xMode val="edge"/>
          <c:yMode val="edge"/>
          <c:x val="0.119761317492972"/>
          <c:y val="2.360897109032057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'February 24, 2021'!$B$2:$B$3</c:f>
              <c:strCache>
                <c:ptCount val="2"/>
                <c:pt idx="0">
                  <c:v>Total Hospital</c:v>
                </c:pt>
                <c:pt idx="1">
                  <c:v>2275</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24,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24, 2021'!$B$4:$B$16</c:f>
              <c:numCache>
                <c:formatCode>General</c:formatCode>
                <c:ptCount val="13"/>
                <c:pt idx="0">
                  <c:v>238</c:v>
                </c:pt>
                <c:pt idx="1">
                  <c:v>326</c:v>
                </c:pt>
                <c:pt idx="2" formatCode="0">
                  <c:v>675</c:v>
                </c:pt>
                <c:pt idx="3" formatCode="#,##0">
                  <c:v>655</c:v>
                </c:pt>
                <c:pt idx="4">
                  <c:v>0</c:v>
                </c:pt>
                <c:pt idx="5">
                  <c:v>2</c:v>
                </c:pt>
                <c:pt idx="6">
                  <c:v>216</c:v>
                </c:pt>
                <c:pt idx="7">
                  <c:v>0</c:v>
                </c:pt>
                <c:pt idx="8">
                  <c:v>158</c:v>
                </c:pt>
                <c:pt idx="9">
                  <c:v>5</c:v>
                </c:pt>
                <c:pt idx="10">
                  <c:v>0</c:v>
                </c:pt>
                <c:pt idx="11">
                  <c:v>0</c:v>
                </c:pt>
                <c:pt idx="12">
                  <c:v>0</c:v>
                </c:pt>
              </c:numCache>
            </c:numRef>
          </c:val>
          <c:extLst>
            <c:ext xmlns:c16="http://schemas.microsoft.com/office/drawing/2014/chart" uri="{C3380CC4-5D6E-409C-BE32-E72D297353CC}">
              <c16:uniqueId val="{00000000-3E8F-43F7-B0D1-2E040ED517E9}"/>
            </c:ext>
          </c:extLst>
        </c:ser>
        <c:ser>
          <c:idx val="1"/>
          <c:order val="1"/>
          <c:tx>
            <c:strRef>
              <c:f>'February 24, 2021'!$C$2:$C$3</c:f>
              <c:strCache>
                <c:ptCount val="2"/>
                <c:pt idx="0">
                  <c:v>Total ICU</c:v>
                </c:pt>
                <c:pt idx="1">
                  <c:v>588</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8F-43F7-B0D1-2E040ED517E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24,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24, 2021'!$C$4:$C$16</c:f>
              <c:numCache>
                <c:formatCode>General</c:formatCode>
                <c:ptCount val="13"/>
                <c:pt idx="0">
                  <c:v>69</c:v>
                </c:pt>
                <c:pt idx="1">
                  <c:v>51</c:v>
                </c:pt>
                <c:pt idx="2">
                  <c:v>287</c:v>
                </c:pt>
                <c:pt idx="3">
                  <c:v>130</c:v>
                </c:pt>
                <c:pt idx="4">
                  <c:v>1</c:v>
                </c:pt>
                <c:pt idx="5">
                  <c:v>1</c:v>
                </c:pt>
                <c:pt idx="6">
                  <c:v>33</c:v>
                </c:pt>
                <c:pt idx="7">
                  <c:v>0</c:v>
                </c:pt>
                <c:pt idx="8">
                  <c:v>16</c:v>
                </c:pt>
                <c:pt idx="9">
                  <c:v>0</c:v>
                </c:pt>
                <c:pt idx="10">
                  <c:v>0</c:v>
                </c:pt>
                <c:pt idx="11">
                  <c:v>0</c:v>
                </c:pt>
                <c:pt idx="12">
                  <c:v>0</c:v>
                </c:pt>
              </c:numCache>
            </c:numRef>
          </c:val>
          <c:extLst>
            <c:ext xmlns:c16="http://schemas.microsoft.com/office/drawing/2014/chart" uri="{C3380CC4-5D6E-409C-BE32-E72D297353CC}">
              <c16:uniqueId val="{00000002-3E8F-43F7-B0D1-2E040ED517E9}"/>
            </c:ext>
          </c:extLst>
        </c:ser>
        <c:dLbls>
          <c:dLblPos val="outEnd"/>
          <c:showLegendKey val="0"/>
          <c:showVal val="1"/>
          <c:showCatName val="0"/>
          <c:showSerName val="0"/>
          <c:showPercent val="0"/>
          <c:showBubbleSize val="0"/>
        </c:dLbls>
        <c:gapWidth val="100"/>
        <c:overlap val="-24"/>
        <c:axId val="514301008"/>
        <c:axId val="514303752"/>
      </c:barChart>
      <c:catAx>
        <c:axId val="51430100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03752"/>
        <c:crosses val="autoZero"/>
        <c:auto val="1"/>
        <c:lblAlgn val="ctr"/>
        <c:lblOffset val="100"/>
        <c:noMultiLvlLbl val="0"/>
      </c:catAx>
      <c:valAx>
        <c:axId val="51430375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01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2022-04-29</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'April 29, 2022'!$B$2:$B$3</c:f>
              <c:strCache>
                <c:ptCount val="2"/>
                <c:pt idx="0">
                  <c:v>Total Hospital</c:v>
                </c:pt>
                <c:pt idx="1">
                  <c:v>7052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29,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29, 2022'!$B$4:$B$16</c:f>
              <c:numCache>
                <c:formatCode>General</c:formatCode>
                <c:ptCount val="13"/>
                <c:pt idx="0">
                  <c:v>570</c:v>
                </c:pt>
                <c:pt idx="1">
                  <c:v>1220</c:v>
                </c:pt>
                <c:pt idx="2" formatCode="0">
                  <c:v>1679</c:v>
                </c:pt>
                <c:pt idx="3" formatCode="#,##0">
                  <c:v>2290</c:v>
                </c:pt>
                <c:pt idx="4">
                  <c:v>66</c:v>
                </c:pt>
                <c:pt idx="5">
                  <c:v>168</c:v>
                </c:pt>
                <c:pt idx="6">
                  <c:v>579</c:v>
                </c:pt>
                <c:pt idx="7">
                  <c:v>14</c:v>
                </c:pt>
                <c:pt idx="8">
                  <c:v>409</c:v>
                </c:pt>
                <c:pt idx="9">
                  <c:v>16</c:v>
                </c:pt>
                <c:pt idx="10">
                  <c:v>8</c:v>
                </c:pt>
                <c:pt idx="11">
                  <c:v>0</c:v>
                </c:pt>
                <c:pt idx="12">
                  <c:v>33</c:v>
                </c:pt>
              </c:numCache>
            </c:numRef>
          </c:val>
          <c:extLst>
            <c:ext xmlns:c16="http://schemas.microsoft.com/office/drawing/2014/chart" uri="{C3380CC4-5D6E-409C-BE32-E72D297353CC}">
              <c16:uniqueId val="{00000000-EDA9-447A-B34A-7F5482B615D8}"/>
            </c:ext>
          </c:extLst>
        </c:ser>
        <c:ser>
          <c:idx val="1"/>
          <c:order val="1"/>
          <c:tx>
            <c:strRef>
              <c:f>'April 29, 2022'!$C$2:$C$3</c:f>
              <c:strCache>
                <c:ptCount val="2"/>
                <c:pt idx="0">
                  <c:v>Total ICU</c:v>
                </c:pt>
                <c:pt idx="1">
                  <c:v>468</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29,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29, 2022'!$C$4:$C$16</c:f>
              <c:numCache>
                <c:formatCode>General</c:formatCode>
                <c:ptCount val="13"/>
                <c:pt idx="0">
                  <c:v>47</c:v>
                </c:pt>
                <c:pt idx="1">
                  <c:v>47</c:v>
                </c:pt>
                <c:pt idx="2">
                  <c:v>209</c:v>
                </c:pt>
                <c:pt idx="3">
                  <c:v>81</c:v>
                </c:pt>
                <c:pt idx="4">
                  <c:v>11</c:v>
                </c:pt>
                <c:pt idx="5">
                  <c:v>19</c:v>
                </c:pt>
                <c:pt idx="6">
                  <c:v>28</c:v>
                </c:pt>
                <c:pt idx="7">
                  <c:v>1</c:v>
                </c:pt>
                <c:pt idx="8">
                  <c:v>20</c:v>
                </c:pt>
                <c:pt idx="9">
                  <c:v>4</c:v>
                </c:pt>
                <c:pt idx="10">
                  <c:v>1</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45952"/>
        <c:axId val="451744384"/>
      </c:barChart>
      <c:catAx>
        <c:axId val="45174595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44384"/>
        <c:crosses val="autoZero"/>
        <c:auto val="1"/>
        <c:lblAlgn val="ctr"/>
        <c:lblOffset val="100"/>
        <c:noMultiLvlLbl val="0"/>
      </c:catAx>
      <c:valAx>
        <c:axId val="45174438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459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2021-02-22</a:t>
            </a:r>
          </a:p>
        </c:rich>
      </c:tx>
      <c:layout>
        <c:manualLayout>
          <c:xMode val="edge"/>
          <c:yMode val="edge"/>
          <c:x val="0.119761317492972"/>
          <c:y val="2.360897109032057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'February 22, 2021'!$B$2:$B$3</c:f>
              <c:strCache>
                <c:ptCount val="2"/>
                <c:pt idx="0">
                  <c:v>Total Hospital</c:v>
                </c:pt>
                <c:pt idx="1">
                  <c:v>2273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22,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22, 2021'!$B$4:$B$16</c:f>
              <c:numCache>
                <c:formatCode>General</c:formatCode>
                <c:ptCount val="13"/>
                <c:pt idx="0">
                  <c:v>217</c:v>
                </c:pt>
                <c:pt idx="1">
                  <c:v>321</c:v>
                </c:pt>
                <c:pt idx="2" formatCode="0">
                  <c:v>660</c:v>
                </c:pt>
                <c:pt idx="3" formatCode="#,##0">
                  <c:v>686</c:v>
                </c:pt>
                <c:pt idx="4">
                  <c:v>0</c:v>
                </c:pt>
                <c:pt idx="5">
                  <c:v>2</c:v>
                </c:pt>
                <c:pt idx="6">
                  <c:v>208</c:v>
                </c:pt>
                <c:pt idx="7">
                  <c:v>0</c:v>
                </c:pt>
                <c:pt idx="8">
                  <c:v>176</c:v>
                </c:pt>
                <c:pt idx="9">
                  <c:v>3</c:v>
                </c:pt>
                <c:pt idx="10">
                  <c:v>0</c:v>
                </c:pt>
                <c:pt idx="11">
                  <c:v>0</c:v>
                </c:pt>
                <c:pt idx="12">
                  <c:v>0</c:v>
                </c:pt>
              </c:numCache>
            </c:numRef>
          </c:val>
          <c:extLst>
            <c:ext xmlns:c16="http://schemas.microsoft.com/office/drawing/2014/chart" uri="{C3380CC4-5D6E-409C-BE32-E72D297353CC}">
              <c16:uniqueId val="{00000000-AA24-4540-A90B-9BAE5B0E21D0}"/>
            </c:ext>
          </c:extLst>
        </c:ser>
        <c:ser>
          <c:idx val="1"/>
          <c:order val="1"/>
          <c:tx>
            <c:strRef>
              <c:f>'February 22, 2021'!$C$2:$C$3</c:f>
              <c:strCache>
                <c:ptCount val="2"/>
                <c:pt idx="0">
                  <c:v>Total ICU</c:v>
                </c:pt>
                <c:pt idx="1">
                  <c:v>556</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A24-4540-A90B-9BAE5B0E21D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22,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22, 2021'!$C$4:$C$16</c:f>
              <c:numCache>
                <c:formatCode>General</c:formatCode>
                <c:ptCount val="13"/>
                <c:pt idx="0">
                  <c:v>61</c:v>
                </c:pt>
                <c:pt idx="1">
                  <c:v>53</c:v>
                </c:pt>
                <c:pt idx="2">
                  <c:v>277</c:v>
                </c:pt>
                <c:pt idx="3">
                  <c:v>119</c:v>
                </c:pt>
                <c:pt idx="4">
                  <c:v>1</c:v>
                </c:pt>
                <c:pt idx="5">
                  <c:v>1</c:v>
                </c:pt>
                <c:pt idx="6">
                  <c:v>31</c:v>
                </c:pt>
                <c:pt idx="7">
                  <c:v>0</c:v>
                </c:pt>
                <c:pt idx="8">
                  <c:v>13</c:v>
                </c:pt>
                <c:pt idx="9">
                  <c:v>0</c:v>
                </c:pt>
                <c:pt idx="10">
                  <c:v>0</c:v>
                </c:pt>
                <c:pt idx="11">
                  <c:v>0</c:v>
                </c:pt>
                <c:pt idx="12">
                  <c:v>0</c:v>
                </c:pt>
              </c:numCache>
            </c:numRef>
          </c:val>
          <c:extLst>
            <c:ext xmlns:c16="http://schemas.microsoft.com/office/drawing/2014/chart" uri="{C3380CC4-5D6E-409C-BE32-E72D297353CC}">
              <c16:uniqueId val="{00000002-AA24-4540-A90B-9BAE5B0E21D0}"/>
            </c:ext>
          </c:extLst>
        </c:ser>
        <c:dLbls>
          <c:dLblPos val="outEnd"/>
          <c:showLegendKey val="0"/>
          <c:showVal val="1"/>
          <c:showCatName val="0"/>
          <c:showSerName val="0"/>
          <c:showPercent val="0"/>
          <c:showBubbleSize val="0"/>
        </c:dLbls>
        <c:gapWidth val="100"/>
        <c:overlap val="-24"/>
        <c:axId val="514301792"/>
        <c:axId val="514302576"/>
      </c:barChart>
      <c:catAx>
        <c:axId val="51430179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02576"/>
        <c:crosses val="autoZero"/>
        <c:auto val="1"/>
        <c:lblAlgn val="ctr"/>
        <c:lblOffset val="100"/>
        <c:noMultiLvlLbl val="0"/>
      </c:catAx>
      <c:valAx>
        <c:axId val="51430257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017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2021-02-18</a:t>
            </a:r>
          </a:p>
        </c:rich>
      </c:tx>
      <c:layout>
        <c:manualLayout>
          <c:xMode val="edge"/>
          <c:yMode val="edge"/>
          <c:x val="0.119761317492972"/>
          <c:y val="2.360897109032057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'February 18, 2021'!$B$2:$B$3</c:f>
              <c:strCache>
                <c:ptCount val="2"/>
                <c:pt idx="0">
                  <c:v>Total Hospital</c:v>
                </c:pt>
                <c:pt idx="1">
                  <c:v>2389</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18,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18, 2021'!$B$4:$B$16</c:f>
              <c:numCache>
                <c:formatCode>General</c:formatCode>
                <c:ptCount val="13"/>
                <c:pt idx="0">
                  <c:v>232</c:v>
                </c:pt>
                <c:pt idx="1">
                  <c:v>270</c:v>
                </c:pt>
                <c:pt idx="2" formatCode="0">
                  <c:v>758</c:v>
                </c:pt>
                <c:pt idx="3" formatCode="#,##0">
                  <c:v>747</c:v>
                </c:pt>
                <c:pt idx="4">
                  <c:v>0</c:v>
                </c:pt>
                <c:pt idx="5">
                  <c:v>5</c:v>
                </c:pt>
                <c:pt idx="6">
                  <c:v>224</c:v>
                </c:pt>
                <c:pt idx="7">
                  <c:v>0</c:v>
                </c:pt>
                <c:pt idx="8">
                  <c:v>151</c:v>
                </c:pt>
                <c:pt idx="9">
                  <c:v>2</c:v>
                </c:pt>
                <c:pt idx="10">
                  <c:v>0</c:v>
                </c:pt>
                <c:pt idx="11">
                  <c:v>0</c:v>
                </c:pt>
                <c:pt idx="12">
                  <c:v>0</c:v>
                </c:pt>
              </c:numCache>
            </c:numRef>
          </c:val>
          <c:extLst>
            <c:ext xmlns:c16="http://schemas.microsoft.com/office/drawing/2014/chart" uri="{C3380CC4-5D6E-409C-BE32-E72D297353CC}">
              <c16:uniqueId val="{00000000-223B-4879-81FB-ACEDC8F242AD}"/>
            </c:ext>
          </c:extLst>
        </c:ser>
        <c:ser>
          <c:idx val="1"/>
          <c:order val="1"/>
          <c:tx>
            <c:strRef>
              <c:f>'February 18, 2021'!$C$2:$C$3</c:f>
              <c:strCache>
                <c:ptCount val="2"/>
                <c:pt idx="0">
                  <c:v>Total ICU</c:v>
                </c:pt>
                <c:pt idx="1">
                  <c:v>581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23B-4879-81FB-ACEDC8F242A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18,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18, 2021'!$C$4:$C$16</c:f>
              <c:numCache>
                <c:formatCode>General</c:formatCode>
                <c:ptCount val="13"/>
                <c:pt idx="0">
                  <c:v>63</c:v>
                </c:pt>
                <c:pt idx="1">
                  <c:v>60</c:v>
                </c:pt>
                <c:pt idx="2">
                  <c:v>277</c:v>
                </c:pt>
                <c:pt idx="3">
                  <c:v>129</c:v>
                </c:pt>
                <c:pt idx="4">
                  <c:v>1</c:v>
                </c:pt>
                <c:pt idx="5">
                  <c:v>1</c:v>
                </c:pt>
                <c:pt idx="6">
                  <c:v>27</c:v>
                </c:pt>
                <c:pt idx="7">
                  <c:v>0</c:v>
                </c:pt>
                <c:pt idx="8">
                  <c:v>23</c:v>
                </c:pt>
                <c:pt idx="9">
                  <c:v>0</c:v>
                </c:pt>
                <c:pt idx="10">
                  <c:v>0</c:v>
                </c:pt>
                <c:pt idx="11">
                  <c:v>0</c:v>
                </c:pt>
                <c:pt idx="12">
                  <c:v>0</c:v>
                </c:pt>
              </c:numCache>
            </c:numRef>
          </c:val>
          <c:extLst>
            <c:ext xmlns:c16="http://schemas.microsoft.com/office/drawing/2014/chart" uri="{C3380CC4-5D6E-409C-BE32-E72D297353CC}">
              <c16:uniqueId val="{00000002-223B-4879-81FB-ACEDC8F242AD}"/>
            </c:ext>
          </c:extLst>
        </c:ser>
        <c:dLbls>
          <c:dLblPos val="outEnd"/>
          <c:showLegendKey val="0"/>
          <c:showVal val="1"/>
          <c:showCatName val="0"/>
          <c:showSerName val="0"/>
          <c:showPercent val="0"/>
          <c:showBubbleSize val="0"/>
        </c:dLbls>
        <c:gapWidth val="100"/>
        <c:overlap val="-24"/>
        <c:axId val="514317864"/>
        <c:axId val="514315120"/>
      </c:barChart>
      <c:catAx>
        <c:axId val="51431786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15120"/>
        <c:crosses val="autoZero"/>
        <c:auto val="1"/>
        <c:lblAlgn val="ctr"/>
        <c:lblOffset val="100"/>
        <c:noMultiLvlLbl val="0"/>
      </c:catAx>
      <c:valAx>
        <c:axId val="51431512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17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2021-02-16</a:t>
            </a:r>
          </a:p>
        </c:rich>
      </c:tx>
      <c:layout>
        <c:manualLayout>
          <c:xMode val="edge"/>
          <c:yMode val="edge"/>
          <c:x val="0.119761317492972"/>
          <c:y val="2.360897109032057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'February 16, 2021'!$B$2:$B$3</c:f>
              <c:strCache>
                <c:ptCount val="2"/>
                <c:pt idx="0">
                  <c:v>Total Hospital</c:v>
                </c:pt>
                <c:pt idx="1">
                  <c:v>2496</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16,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16, 2021'!$B$4:$B$16</c:f>
              <c:numCache>
                <c:formatCode>General</c:formatCode>
                <c:ptCount val="13"/>
                <c:pt idx="0">
                  <c:v>226</c:v>
                </c:pt>
                <c:pt idx="1">
                  <c:v>356</c:v>
                </c:pt>
                <c:pt idx="2" formatCode="0">
                  <c:v>742</c:v>
                </c:pt>
                <c:pt idx="3" formatCode="#,##0">
                  <c:v>771</c:v>
                </c:pt>
                <c:pt idx="4">
                  <c:v>0</c:v>
                </c:pt>
                <c:pt idx="5">
                  <c:v>6</c:v>
                </c:pt>
                <c:pt idx="6">
                  <c:v>230</c:v>
                </c:pt>
                <c:pt idx="7">
                  <c:v>0</c:v>
                </c:pt>
                <c:pt idx="8">
                  <c:v>164</c:v>
                </c:pt>
                <c:pt idx="9">
                  <c:v>1</c:v>
                </c:pt>
                <c:pt idx="10">
                  <c:v>0</c:v>
                </c:pt>
                <c:pt idx="11">
                  <c:v>0</c:v>
                </c:pt>
                <c:pt idx="12">
                  <c:v>0</c:v>
                </c:pt>
              </c:numCache>
            </c:numRef>
          </c:val>
          <c:extLst>
            <c:ext xmlns:c16="http://schemas.microsoft.com/office/drawing/2014/chart" uri="{C3380CC4-5D6E-409C-BE32-E72D297353CC}">
              <c16:uniqueId val="{00000000-2871-45B6-83DC-552B449AEA85}"/>
            </c:ext>
          </c:extLst>
        </c:ser>
        <c:ser>
          <c:idx val="1"/>
          <c:order val="1"/>
          <c:tx>
            <c:strRef>
              <c:f>'February 16, 2021'!$C$2:$C$3</c:f>
              <c:strCache>
                <c:ptCount val="2"/>
                <c:pt idx="0">
                  <c:v>Total ICU</c:v>
                </c:pt>
                <c:pt idx="1">
                  <c:v>594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71-45B6-83DC-552B449AEA8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16,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16, 2021'!$C$4:$C$16</c:f>
              <c:numCache>
                <c:formatCode>General</c:formatCode>
                <c:ptCount val="13"/>
                <c:pt idx="0">
                  <c:v>61</c:v>
                </c:pt>
                <c:pt idx="1">
                  <c:v>58</c:v>
                </c:pt>
                <c:pt idx="2">
                  <c:v>292</c:v>
                </c:pt>
                <c:pt idx="3">
                  <c:v>134</c:v>
                </c:pt>
                <c:pt idx="4">
                  <c:v>1</c:v>
                </c:pt>
                <c:pt idx="5">
                  <c:v>2</c:v>
                </c:pt>
                <c:pt idx="6">
                  <c:v>26</c:v>
                </c:pt>
                <c:pt idx="7">
                  <c:v>0</c:v>
                </c:pt>
                <c:pt idx="8">
                  <c:v>20</c:v>
                </c:pt>
                <c:pt idx="9">
                  <c:v>0</c:v>
                </c:pt>
                <c:pt idx="10">
                  <c:v>0</c:v>
                </c:pt>
                <c:pt idx="11">
                  <c:v>0</c:v>
                </c:pt>
                <c:pt idx="12">
                  <c:v>0</c:v>
                </c:pt>
              </c:numCache>
            </c:numRef>
          </c:val>
          <c:extLst>
            <c:ext xmlns:c16="http://schemas.microsoft.com/office/drawing/2014/chart" uri="{C3380CC4-5D6E-409C-BE32-E72D297353CC}">
              <c16:uniqueId val="{00000002-2871-45B6-83DC-552B449AEA85}"/>
            </c:ext>
          </c:extLst>
        </c:ser>
        <c:dLbls>
          <c:dLblPos val="outEnd"/>
          <c:showLegendKey val="0"/>
          <c:showVal val="1"/>
          <c:showCatName val="0"/>
          <c:showSerName val="0"/>
          <c:showPercent val="0"/>
          <c:showBubbleSize val="0"/>
        </c:dLbls>
        <c:gapWidth val="100"/>
        <c:overlap val="-24"/>
        <c:axId val="514315512"/>
        <c:axId val="514314728"/>
      </c:barChart>
      <c:catAx>
        <c:axId val="51431551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14728"/>
        <c:crosses val="autoZero"/>
        <c:auto val="1"/>
        <c:lblAlgn val="ctr"/>
        <c:lblOffset val="100"/>
        <c:noMultiLvlLbl val="0"/>
      </c:catAx>
      <c:valAx>
        <c:axId val="51431472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155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2021-02-12</a:t>
            </a:r>
          </a:p>
        </c:rich>
      </c:tx>
      <c:layout>
        <c:manualLayout>
          <c:xMode val="edge"/>
          <c:yMode val="edge"/>
          <c:x val="0.119761317492972"/>
          <c:y val="2.360897109032057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'February 12, 2021'!$B$2:$B$3</c:f>
              <c:strCache>
                <c:ptCount val="2"/>
                <c:pt idx="0">
                  <c:v>Total Hospital</c:v>
                </c:pt>
                <c:pt idx="1">
                  <c:v>2642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12,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12, 2021'!$B$4:$B$16</c:f>
              <c:numCache>
                <c:formatCode>General</c:formatCode>
                <c:ptCount val="13"/>
                <c:pt idx="0">
                  <c:v>224</c:v>
                </c:pt>
                <c:pt idx="1">
                  <c:v>397</c:v>
                </c:pt>
                <c:pt idx="2" formatCode="0">
                  <c:v>763</c:v>
                </c:pt>
                <c:pt idx="3" formatCode="#,##0">
                  <c:v>849</c:v>
                </c:pt>
                <c:pt idx="4">
                  <c:v>0</c:v>
                </c:pt>
                <c:pt idx="5">
                  <c:v>6</c:v>
                </c:pt>
                <c:pt idx="6">
                  <c:v>240</c:v>
                </c:pt>
                <c:pt idx="7">
                  <c:v>0</c:v>
                </c:pt>
                <c:pt idx="8">
                  <c:v>163</c:v>
                </c:pt>
                <c:pt idx="9">
                  <c:v>0</c:v>
                </c:pt>
                <c:pt idx="10">
                  <c:v>0</c:v>
                </c:pt>
                <c:pt idx="11">
                  <c:v>0</c:v>
                </c:pt>
                <c:pt idx="12">
                  <c:v>0</c:v>
                </c:pt>
              </c:numCache>
            </c:numRef>
          </c:val>
          <c:extLst>
            <c:ext xmlns:c16="http://schemas.microsoft.com/office/drawing/2014/chart" uri="{C3380CC4-5D6E-409C-BE32-E72D297353CC}">
              <c16:uniqueId val="{00000000-6758-4B3D-A58B-5BA5D46BE0CA}"/>
            </c:ext>
          </c:extLst>
        </c:ser>
        <c:ser>
          <c:idx val="1"/>
          <c:order val="1"/>
          <c:tx>
            <c:strRef>
              <c:f>'February 12, 2021'!$C$2:$C$3</c:f>
              <c:strCache>
                <c:ptCount val="2"/>
                <c:pt idx="0">
                  <c:v>Total ICU</c:v>
                </c:pt>
                <c:pt idx="1">
                  <c:v>622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58-4B3D-A58B-5BA5D46BE0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12,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12, 2021'!$C$4:$C$16</c:f>
              <c:numCache>
                <c:formatCode>General</c:formatCode>
                <c:ptCount val="13"/>
                <c:pt idx="0">
                  <c:v>63</c:v>
                </c:pt>
                <c:pt idx="1">
                  <c:v>71</c:v>
                </c:pt>
                <c:pt idx="2">
                  <c:v>295</c:v>
                </c:pt>
                <c:pt idx="3">
                  <c:v>137</c:v>
                </c:pt>
                <c:pt idx="4">
                  <c:v>1</c:v>
                </c:pt>
                <c:pt idx="5">
                  <c:v>2</c:v>
                </c:pt>
                <c:pt idx="6">
                  <c:v>29</c:v>
                </c:pt>
                <c:pt idx="7">
                  <c:v>0</c:v>
                </c:pt>
                <c:pt idx="8">
                  <c:v>24</c:v>
                </c:pt>
                <c:pt idx="9">
                  <c:v>0</c:v>
                </c:pt>
                <c:pt idx="10">
                  <c:v>0</c:v>
                </c:pt>
                <c:pt idx="11">
                  <c:v>0</c:v>
                </c:pt>
                <c:pt idx="12">
                  <c:v>0</c:v>
                </c:pt>
              </c:numCache>
            </c:numRef>
          </c:val>
          <c:extLst>
            <c:ext xmlns:c16="http://schemas.microsoft.com/office/drawing/2014/chart" uri="{C3380CC4-5D6E-409C-BE32-E72D297353CC}">
              <c16:uniqueId val="{00000002-6758-4B3D-A58B-5BA5D46BE0CA}"/>
            </c:ext>
          </c:extLst>
        </c:ser>
        <c:dLbls>
          <c:dLblPos val="outEnd"/>
          <c:showLegendKey val="0"/>
          <c:showVal val="1"/>
          <c:showCatName val="0"/>
          <c:showSerName val="0"/>
          <c:showPercent val="0"/>
          <c:showBubbleSize val="0"/>
        </c:dLbls>
        <c:gapWidth val="100"/>
        <c:overlap val="-24"/>
        <c:axId val="514308064"/>
        <c:axId val="514310808"/>
      </c:barChart>
      <c:catAx>
        <c:axId val="51430806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10808"/>
        <c:crosses val="autoZero"/>
        <c:auto val="1"/>
        <c:lblAlgn val="ctr"/>
        <c:lblOffset val="100"/>
        <c:noMultiLvlLbl val="0"/>
      </c:catAx>
      <c:valAx>
        <c:axId val="51431080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080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2021-02-10</a:t>
            </a:r>
            <a:r>
              <a:rPr lang="en-US" sz="1050" baseline="0"/>
              <a:t> </a:t>
            </a:r>
            <a:endParaRPr lang="en-US" sz="1050"/>
          </a:p>
        </c:rich>
      </c:tx>
      <c:layout>
        <c:manualLayout>
          <c:xMode val="edge"/>
          <c:yMode val="edge"/>
          <c:x val="0.119761317492972"/>
          <c:y val="2.360897109032057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'February 10, 2021'!$B$2:$B$3</c:f>
              <c:strCache>
                <c:ptCount val="2"/>
                <c:pt idx="0">
                  <c:v>Total Hospital</c:v>
                </c:pt>
                <c:pt idx="1">
                  <c:v>2991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10,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10, 2021'!$B$4:$B$16</c:f>
              <c:numCache>
                <c:formatCode>General</c:formatCode>
                <c:ptCount val="13"/>
                <c:pt idx="0">
                  <c:v>241</c:v>
                </c:pt>
                <c:pt idx="1">
                  <c:v>427</c:v>
                </c:pt>
                <c:pt idx="2" formatCode="0">
                  <c:v>948</c:v>
                </c:pt>
                <c:pt idx="3" formatCode="#,##0">
                  <c:v>918</c:v>
                </c:pt>
                <c:pt idx="4">
                  <c:v>0</c:v>
                </c:pt>
                <c:pt idx="5">
                  <c:v>6</c:v>
                </c:pt>
                <c:pt idx="6">
                  <c:v>255</c:v>
                </c:pt>
                <c:pt idx="7">
                  <c:v>0</c:v>
                </c:pt>
                <c:pt idx="8">
                  <c:v>196</c:v>
                </c:pt>
                <c:pt idx="9">
                  <c:v>0</c:v>
                </c:pt>
                <c:pt idx="10">
                  <c:v>0</c:v>
                </c:pt>
                <c:pt idx="11">
                  <c:v>0</c:v>
                </c:pt>
                <c:pt idx="12">
                  <c:v>0</c:v>
                </c:pt>
              </c:numCache>
            </c:numRef>
          </c:val>
          <c:extLst>
            <c:ext xmlns:c16="http://schemas.microsoft.com/office/drawing/2014/chart" uri="{C3380CC4-5D6E-409C-BE32-E72D297353CC}">
              <c16:uniqueId val="{00000000-036F-4B4E-A529-37C486A025B0}"/>
            </c:ext>
          </c:extLst>
        </c:ser>
        <c:ser>
          <c:idx val="1"/>
          <c:order val="1"/>
          <c:tx>
            <c:strRef>
              <c:f>'February 10, 2021'!$C$2:$C$3</c:f>
              <c:strCache>
                <c:ptCount val="2"/>
                <c:pt idx="0">
                  <c:v>Total ICU</c:v>
                </c:pt>
                <c:pt idx="1">
                  <c:v>672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6F-4B4E-A529-37C486A025B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10,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10, 2021'!$C$4:$C$16</c:f>
              <c:numCache>
                <c:formatCode>General</c:formatCode>
                <c:ptCount val="13"/>
                <c:pt idx="0">
                  <c:v>68</c:v>
                </c:pt>
                <c:pt idx="1">
                  <c:v>78</c:v>
                </c:pt>
                <c:pt idx="2">
                  <c:v>313</c:v>
                </c:pt>
                <c:pt idx="3">
                  <c:v>148</c:v>
                </c:pt>
                <c:pt idx="4">
                  <c:v>1</c:v>
                </c:pt>
                <c:pt idx="5">
                  <c:v>2</c:v>
                </c:pt>
                <c:pt idx="6">
                  <c:v>34</c:v>
                </c:pt>
                <c:pt idx="7">
                  <c:v>0</c:v>
                </c:pt>
                <c:pt idx="8">
                  <c:v>28</c:v>
                </c:pt>
                <c:pt idx="9">
                  <c:v>0</c:v>
                </c:pt>
                <c:pt idx="10">
                  <c:v>0</c:v>
                </c:pt>
                <c:pt idx="11">
                  <c:v>0</c:v>
                </c:pt>
                <c:pt idx="12">
                  <c:v>0</c:v>
                </c:pt>
              </c:numCache>
            </c:numRef>
          </c:val>
          <c:extLst>
            <c:ext xmlns:c16="http://schemas.microsoft.com/office/drawing/2014/chart" uri="{C3380CC4-5D6E-409C-BE32-E72D297353CC}">
              <c16:uniqueId val="{00000002-036F-4B4E-A529-37C486A025B0}"/>
            </c:ext>
          </c:extLst>
        </c:ser>
        <c:dLbls>
          <c:dLblPos val="outEnd"/>
          <c:showLegendKey val="0"/>
          <c:showVal val="1"/>
          <c:showCatName val="0"/>
          <c:showSerName val="0"/>
          <c:showPercent val="0"/>
          <c:showBubbleSize val="0"/>
        </c:dLbls>
        <c:gapWidth val="100"/>
        <c:overlap val="-24"/>
        <c:axId val="514314336"/>
        <c:axId val="514308848"/>
      </c:barChart>
      <c:catAx>
        <c:axId val="51431433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08848"/>
        <c:crosses val="autoZero"/>
        <c:auto val="1"/>
        <c:lblAlgn val="ctr"/>
        <c:lblOffset val="100"/>
        <c:noMultiLvlLbl val="0"/>
      </c:catAx>
      <c:valAx>
        <c:axId val="51430884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14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2021-02-08</a:t>
            </a:r>
          </a:p>
        </c:rich>
      </c:tx>
      <c:layout>
        <c:manualLayout>
          <c:xMode val="edge"/>
          <c:yMode val="edge"/>
          <c:x val="0.119761317492972"/>
          <c:y val="2.360897109032057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'February 8, 2021'!$B$2:$B$3</c:f>
              <c:strCache>
                <c:ptCount val="2"/>
                <c:pt idx="0">
                  <c:v>Total Hospital</c:v>
                </c:pt>
                <c:pt idx="1">
                  <c:v>3019</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8,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8, 2021'!$B$4:$B$16</c:f>
              <c:numCache>
                <c:formatCode>General</c:formatCode>
                <c:ptCount val="13"/>
                <c:pt idx="0">
                  <c:v>253</c:v>
                </c:pt>
                <c:pt idx="1">
                  <c:v>434</c:v>
                </c:pt>
                <c:pt idx="2" formatCode="0">
                  <c:v>901</c:v>
                </c:pt>
                <c:pt idx="3" formatCode="#,##0">
                  <c:v>969</c:v>
                </c:pt>
                <c:pt idx="4">
                  <c:v>0</c:v>
                </c:pt>
                <c:pt idx="5">
                  <c:v>7</c:v>
                </c:pt>
                <c:pt idx="6">
                  <c:v>271</c:v>
                </c:pt>
                <c:pt idx="7">
                  <c:v>0</c:v>
                </c:pt>
                <c:pt idx="8">
                  <c:v>184</c:v>
                </c:pt>
                <c:pt idx="9">
                  <c:v>0</c:v>
                </c:pt>
                <c:pt idx="10">
                  <c:v>0</c:v>
                </c:pt>
                <c:pt idx="11">
                  <c:v>0</c:v>
                </c:pt>
                <c:pt idx="12">
                  <c:v>0</c:v>
                </c:pt>
              </c:numCache>
            </c:numRef>
          </c:val>
          <c:extLst>
            <c:ext xmlns:c16="http://schemas.microsoft.com/office/drawing/2014/chart" uri="{C3380CC4-5D6E-409C-BE32-E72D297353CC}">
              <c16:uniqueId val="{00000000-B965-43C2-9818-DEF211532454}"/>
            </c:ext>
          </c:extLst>
        </c:ser>
        <c:ser>
          <c:idx val="1"/>
          <c:order val="1"/>
          <c:tx>
            <c:strRef>
              <c:f>'February 8, 2021'!$C$2:$C$3</c:f>
              <c:strCache>
                <c:ptCount val="2"/>
                <c:pt idx="0">
                  <c:v>Total ICU</c:v>
                </c:pt>
                <c:pt idx="1">
                  <c:v>713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65-43C2-9818-DEF21153245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8,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8, 2021'!$C$4:$C$16</c:f>
              <c:numCache>
                <c:formatCode>General</c:formatCode>
                <c:ptCount val="13"/>
                <c:pt idx="0">
                  <c:v>70</c:v>
                </c:pt>
                <c:pt idx="1">
                  <c:v>81</c:v>
                </c:pt>
                <c:pt idx="2">
                  <c:v>335</c:v>
                </c:pt>
                <c:pt idx="3">
                  <c:v>160</c:v>
                </c:pt>
                <c:pt idx="4">
                  <c:v>1</c:v>
                </c:pt>
                <c:pt idx="5">
                  <c:v>2</c:v>
                </c:pt>
                <c:pt idx="6">
                  <c:v>34</c:v>
                </c:pt>
                <c:pt idx="7">
                  <c:v>0</c:v>
                </c:pt>
                <c:pt idx="8">
                  <c:v>30</c:v>
                </c:pt>
                <c:pt idx="9">
                  <c:v>0</c:v>
                </c:pt>
                <c:pt idx="10">
                  <c:v>0</c:v>
                </c:pt>
                <c:pt idx="11">
                  <c:v>0</c:v>
                </c:pt>
                <c:pt idx="12">
                  <c:v>0</c:v>
                </c:pt>
              </c:numCache>
            </c:numRef>
          </c:val>
          <c:extLst>
            <c:ext xmlns:c16="http://schemas.microsoft.com/office/drawing/2014/chart" uri="{C3380CC4-5D6E-409C-BE32-E72D297353CC}">
              <c16:uniqueId val="{00000002-B965-43C2-9818-DEF211532454}"/>
            </c:ext>
          </c:extLst>
        </c:ser>
        <c:dLbls>
          <c:dLblPos val="outEnd"/>
          <c:showLegendKey val="0"/>
          <c:showVal val="1"/>
          <c:showCatName val="0"/>
          <c:showSerName val="0"/>
          <c:showPercent val="0"/>
          <c:showBubbleSize val="0"/>
        </c:dLbls>
        <c:gapWidth val="100"/>
        <c:overlap val="-24"/>
        <c:axId val="514313552"/>
        <c:axId val="514309632"/>
      </c:barChart>
      <c:catAx>
        <c:axId val="51431355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09632"/>
        <c:crosses val="autoZero"/>
        <c:auto val="1"/>
        <c:lblAlgn val="ctr"/>
        <c:lblOffset val="100"/>
        <c:noMultiLvlLbl val="0"/>
      </c:catAx>
      <c:valAx>
        <c:axId val="51430963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13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2021-02-05</a:t>
            </a:r>
          </a:p>
        </c:rich>
      </c:tx>
      <c:layout>
        <c:manualLayout>
          <c:xMode val="edge"/>
          <c:yMode val="edge"/>
          <c:x val="0.119761317492972"/>
          <c:y val="2.360897109032057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'February 5, 2021'!$B$2:$B$3</c:f>
              <c:strCache>
                <c:ptCount val="2"/>
                <c:pt idx="0">
                  <c:v>Total Hospital</c:v>
                </c:pt>
                <c:pt idx="1">
                  <c:v>3401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5,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5, 2021'!$B$4:$B$16</c:f>
              <c:numCache>
                <c:formatCode>General</c:formatCode>
                <c:ptCount val="13"/>
                <c:pt idx="0">
                  <c:v>257</c:v>
                </c:pt>
                <c:pt idx="1">
                  <c:v>517</c:v>
                </c:pt>
                <c:pt idx="2" formatCode="0">
                  <c:v>1101</c:v>
                </c:pt>
                <c:pt idx="3" formatCode="#,##0">
                  <c:v>1070</c:v>
                </c:pt>
                <c:pt idx="4">
                  <c:v>1</c:v>
                </c:pt>
                <c:pt idx="5">
                  <c:v>5</c:v>
                </c:pt>
                <c:pt idx="6">
                  <c:v>264</c:v>
                </c:pt>
                <c:pt idx="7">
                  <c:v>0</c:v>
                </c:pt>
                <c:pt idx="8">
                  <c:v>186</c:v>
                </c:pt>
                <c:pt idx="9">
                  <c:v>0</c:v>
                </c:pt>
                <c:pt idx="10">
                  <c:v>0</c:v>
                </c:pt>
                <c:pt idx="11">
                  <c:v>0</c:v>
                </c:pt>
                <c:pt idx="12">
                  <c:v>0</c:v>
                </c:pt>
              </c:numCache>
            </c:numRef>
          </c:val>
          <c:extLst>
            <c:ext xmlns:c16="http://schemas.microsoft.com/office/drawing/2014/chart" uri="{C3380CC4-5D6E-409C-BE32-E72D297353CC}">
              <c16:uniqueId val="{00000000-14BE-4D83-925C-FC8226B5F4C6}"/>
            </c:ext>
          </c:extLst>
        </c:ser>
        <c:ser>
          <c:idx val="1"/>
          <c:order val="1"/>
          <c:tx>
            <c:strRef>
              <c:f>'February 5, 2021'!$C$2:$C$3</c:f>
              <c:strCache>
                <c:ptCount val="2"/>
                <c:pt idx="0">
                  <c:v>Total ICU</c:v>
                </c:pt>
                <c:pt idx="1">
                  <c:v>736</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BE-4D83-925C-FC8226B5F4C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5,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5, 2021'!$C$4:$C$16</c:f>
              <c:numCache>
                <c:formatCode>General</c:formatCode>
                <c:ptCount val="13"/>
                <c:pt idx="0">
                  <c:v>76</c:v>
                </c:pt>
                <c:pt idx="1">
                  <c:v>93</c:v>
                </c:pt>
                <c:pt idx="2">
                  <c:v>323</c:v>
                </c:pt>
                <c:pt idx="3">
                  <c:v>175</c:v>
                </c:pt>
                <c:pt idx="4">
                  <c:v>1</c:v>
                </c:pt>
                <c:pt idx="5">
                  <c:v>2</c:v>
                </c:pt>
                <c:pt idx="6">
                  <c:v>36</c:v>
                </c:pt>
                <c:pt idx="7">
                  <c:v>0</c:v>
                </c:pt>
                <c:pt idx="8">
                  <c:v>30</c:v>
                </c:pt>
                <c:pt idx="9">
                  <c:v>0</c:v>
                </c:pt>
                <c:pt idx="10">
                  <c:v>0</c:v>
                </c:pt>
                <c:pt idx="11">
                  <c:v>0</c:v>
                </c:pt>
                <c:pt idx="12">
                  <c:v>0</c:v>
                </c:pt>
              </c:numCache>
            </c:numRef>
          </c:val>
          <c:extLst>
            <c:ext xmlns:c16="http://schemas.microsoft.com/office/drawing/2014/chart" uri="{C3380CC4-5D6E-409C-BE32-E72D297353CC}">
              <c16:uniqueId val="{00000002-14BE-4D83-925C-FC8226B5F4C6}"/>
            </c:ext>
          </c:extLst>
        </c:ser>
        <c:dLbls>
          <c:dLblPos val="outEnd"/>
          <c:showLegendKey val="0"/>
          <c:showVal val="1"/>
          <c:showCatName val="0"/>
          <c:showSerName val="0"/>
          <c:showPercent val="0"/>
          <c:showBubbleSize val="0"/>
        </c:dLbls>
        <c:gapWidth val="100"/>
        <c:overlap val="-24"/>
        <c:axId val="514311200"/>
        <c:axId val="514318648"/>
      </c:barChart>
      <c:catAx>
        <c:axId val="51431120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18648"/>
        <c:crosses val="autoZero"/>
        <c:auto val="1"/>
        <c:lblAlgn val="ctr"/>
        <c:lblOffset val="100"/>
        <c:noMultiLvlLbl val="0"/>
      </c:catAx>
      <c:valAx>
        <c:axId val="51431864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11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2021-02-03</a:t>
            </a:r>
          </a:p>
        </c:rich>
      </c:tx>
      <c:layout>
        <c:manualLayout>
          <c:xMode val="edge"/>
          <c:yMode val="edge"/>
          <c:x val="0.119761317492972"/>
          <c:y val="2.360897109032057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'February 3, 2021'!$B$2:$B$3</c:f>
              <c:strCache>
                <c:ptCount val="2"/>
                <c:pt idx="0">
                  <c:v>Total Hospital</c:v>
                </c:pt>
                <c:pt idx="1">
                  <c:v>3491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3,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3, 2021'!$B$4:$B$16</c:f>
              <c:numCache>
                <c:formatCode>General</c:formatCode>
                <c:ptCount val="13"/>
                <c:pt idx="0">
                  <c:v>294</c:v>
                </c:pt>
                <c:pt idx="1">
                  <c:v>556</c:v>
                </c:pt>
                <c:pt idx="2" formatCode="0">
                  <c:v>1066</c:v>
                </c:pt>
                <c:pt idx="3" formatCode="#,##0">
                  <c:v>1106</c:v>
                </c:pt>
                <c:pt idx="4">
                  <c:v>1</c:v>
                </c:pt>
                <c:pt idx="5">
                  <c:v>5</c:v>
                </c:pt>
                <c:pt idx="6">
                  <c:v>260</c:v>
                </c:pt>
                <c:pt idx="7">
                  <c:v>0</c:v>
                </c:pt>
                <c:pt idx="8">
                  <c:v>202</c:v>
                </c:pt>
                <c:pt idx="9">
                  <c:v>1</c:v>
                </c:pt>
                <c:pt idx="10">
                  <c:v>0</c:v>
                </c:pt>
                <c:pt idx="11">
                  <c:v>0</c:v>
                </c:pt>
                <c:pt idx="12">
                  <c:v>0</c:v>
                </c:pt>
              </c:numCache>
            </c:numRef>
          </c:val>
          <c:extLst>
            <c:ext xmlns:c16="http://schemas.microsoft.com/office/drawing/2014/chart" uri="{C3380CC4-5D6E-409C-BE32-E72D297353CC}">
              <c16:uniqueId val="{00000000-867D-41CD-8A93-830E254A6545}"/>
            </c:ext>
          </c:extLst>
        </c:ser>
        <c:ser>
          <c:idx val="1"/>
          <c:order val="1"/>
          <c:tx>
            <c:strRef>
              <c:f>'February 3, 2021'!$C$2:$C$3</c:f>
              <c:strCache>
                <c:ptCount val="2"/>
                <c:pt idx="0">
                  <c:v>Total ICU</c:v>
                </c:pt>
                <c:pt idx="1">
                  <c:v>760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67D-41CD-8A93-830E254A654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3,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3, 2021'!$C$4:$C$16</c:f>
              <c:numCache>
                <c:formatCode>General</c:formatCode>
                <c:ptCount val="13"/>
                <c:pt idx="0">
                  <c:v>82</c:v>
                </c:pt>
                <c:pt idx="1">
                  <c:v>97</c:v>
                </c:pt>
                <c:pt idx="2">
                  <c:v>336</c:v>
                </c:pt>
                <c:pt idx="3">
                  <c:v>177</c:v>
                </c:pt>
                <c:pt idx="4">
                  <c:v>1</c:v>
                </c:pt>
                <c:pt idx="5">
                  <c:v>3</c:v>
                </c:pt>
                <c:pt idx="6">
                  <c:v>34</c:v>
                </c:pt>
                <c:pt idx="7">
                  <c:v>0</c:v>
                </c:pt>
                <c:pt idx="8">
                  <c:v>30</c:v>
                </c:pt>
                <c:pt idx="9">
                  <c:v>0</c:v>
                </c:pt>
                <c:pt idx="10">
                  <c:v>0</c:v>
                </c:pt>
                <c:pt idx="11">
                  <c:v>0</c:v>
                </c:pt>
                <c:pt idx="12">
                  <c:v>0</c:v>
                </c:pt>
              </c:numCache>
            </c:numRef>
          </c:val>
          <c:extLst>
            <c:ext xmlns:c16="http://schemas.microsoft.com/office/drawing/2014/chart" uri="{C3380CC4-5D6E-409C-BE32-E72D297353CC}">
              <c16:uniqueId val="{00000002-867D-41CD-8A93-830E254A6545}"/>
            </c:ext>
          </c:extLst>
        </c:ser>
        <c:dLbls>
          <c:dLblPos val="outEnd"/>
          <c:showLegendKey val="0"/>
          <c:showVal val="1"/>
          <c:showCatName val="0"/>
          <c:showSerName val="0"/>
          <c:showPercent val="0"/>
          <c:showBubbleSize val="0"/>
        </c:dLbls>
        <c:gapWidth val="100"/>
        <c:overlap val="-24"/>
        <c:axId val="514313944"/>
        <c:axId val="514319824"/>
      </c:barChart>
      <c:catAx>
        <c:axId val="51431394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19824"/>
        <c:crosses val="autoZero"/>
        <c:auto val="1"/>
        <c:lblAlgn val="ctr"/>
        <c:lblOffset val="100"/>
        <c:noMultiLvlLbl val="0"/>
      </c:catAx>
      <c:valAx>
        <c:axId val="51431982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13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2021-02-01</a:t>
            </a:r>
          </a:p>
        </c:rich>
      </c:tx>
      <c:layout>
        <c:manualLayout>
          <c:xMode val="edge"/>
          <c:yMode val="edge"/>
          <c:x val="0.119761317492972"/>
          <c:y val="2.360897109032057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'February 1, 2021'!$B$2:$B$3</c:f>
              <c:strCache>
                <c:ptCount val="2"/>
                <c:pt idx="0">
                  <c:v>Total Hospital</c:v>
                </c:pt>
                <c:pt idx="1">
                  <c:v>3617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1,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1, 2021'!$B$4:$B$16</c:f>
              <c:numCache>
                <c:formatCode>General</c:formatCode>
                <c:ptCount val="13"/>
                <c:pt idx="0">
                  <c:v>292</c:v>
                </c:pt>
                <c:pt idx="1">
                  <c:v>561</c:v>
                </c:pt>
                <c:pt idx="2" formatCode="0">
                  <c:v>1158</c:v>
                </c:pt>
                <c:pt idx="3" formatCode="#,##0">
                  <c:v>1144</c:v>
                </c:pt>
                <c:pt idx="4">
                  <c:v>1</c:v>
                </c:pt>
                <c:pt idx="5">
                  <c:v>3</c:v>
                </c:pt>
                <c:pt idx="6">
                  <c:v>255</c:v>
                </c:pt>
                <c:pt idx="7">
                  <c:v>0</c:v>
                </c:pt>
                <c:pt idx="8">
                  <c:v>202</c:v>
                </c:pt>
                <c:pt idx="9">
                  <c:v>1</c:v>
                </c:pt>
                <c:pt idx="10">
                  <c:v>0</c:v>
                </c:pt>
                <c:pt idx="11">
                  <c:v>0</c:v>
                </c:pt>
                <c:pt idx="12">
                  <c:v>0</c:v>
                </c:pt>
              </c:numCache>
            </c:numRef>
          </c:val>
          <c:extLst>
            <c:ext xmlns:c16="http://schemas.microsoft.com/office/drawing/2014/chart" uri="{C3380CC4-5D6E-409C-BE32-E72D297353CC}">
              <c16:uniqueId val="{00000000-601C-7E43-B51B-D3CAE9431FF8}"/>
            </c:ext>
          </c:extLst>
        </c:ser>
        <c:ser>
          <c:idx val="1"/>
          <c:order val="1"/>
          <c:tx>
            <c:strRef>
              <c:f>'February 1, 2021'!$C$2:$C$3</c:f>
              <c:strCache>
                <c:ptCount val="2"/>
                <c:pt idx="0">
                  <c:v>Total ICU</c:v>
                </c:pt>
                <c:pt idx="1">
                  <c:v>783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01C-7E43-B51B-D3CAE9431FF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1,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1, 2021'!$C$4:$C$16</c:f>
              <c:numCache>
                <c:formatCode>General</c:formatCode>
                <c:ptCount val="13"/>
                <c:pt idx="0">
                  <c:v>74</c:v>
                </c:pt>
                <c:pt idx="1">
                  <c:v>101</c:v>
                </c:pt>
                <c:pt idx="2">
                  <c:v>354</c:v>
                </c:pt>
                <c:pt idx="3">
                  <c:v>183</c:v>
                </c:pt>
                <c:pt idx="4">
                  <c:v>1</c:v>
                </c:pt>
                <c:pt idx="5">
                  <c:v>2</c:v>
                </c:pt>
                <c:pt idx="6">
                  <c:v>38</c:v>
                </c:pt>
                <c:pt idx="7">
                  <c:v>0</c:v>
                </c:pt>
                <c:pt idx="8">
                  <c:v>30</c:v>
                </c:pt>
                <c:pt idx="9">
                  <c:v>0</c:v>
                </c:pt>
                <c:pt idx="10">
                  <c:v>0</c:v>
                </c:pt>
                <c:pt idx="11">
                  <c:v>0</c:v>
                </c:pt>
                <c:pt idx="12">
                  <c:v>0</c:v>
                </c:pt>
              </c:numCache>
            </c:numRef>
          </c:val>
          <c:extLst>
            <c:ext xmlns:c16="http://schemas.microsoft.com/office/drawing/2014/chart" uri="{C3380CC4-5D6E-409C-BE32-E72D297353CC}">
              <c16:uniqueId val="{00000002-601C-7E43-B51B-D3CAE9431FF8}"/>
            </c:ext>
          </c:extLst>
        </c:ser>
        <c:dLbls>
          <c:dLblPos val="outEnd"/>
          <c:showLegendKey val="0"/>
          <c:showVal val="1"/>
          <c:showCatName val="0"/>
          <c:showSerName val="0"/>
          <c:showPercent val="0"/>
          <c:showBubbleSize val="0"/>
        </c:dLbls>
        <c:gapWidth val="100"/>
        <c:overlap val="-24"/>
        <c:axId val="514316296"/>
        <c:axId val="514319040"/>
      </c:barChart>
      <c:catAx>
        <c:axId val="51431629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19040"/>
        <c:crosses val="autoZero"/>
        <c:auto val="1"/>
        <c:lblAlgn val="ctr"/>
        <c:lblOffset val="100"/>
        <c:noMultiLvlLbl val="0"/>
      </c:catAx>
      <c:valAx>
        <c:axId val="51431904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16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2021-01-29</a:t>
            </a:r>
          </a:p>
        </c:rich>
      </c:tx>
      <c:layout>
        <c:manualLayout>
          <c:xMode val="edge"/>
          <c:yMode val="edge"/>
          <c:x val="0.119761317492972"/>
          <c:y val="2.360897109032057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'January 29, 2021'!$B$2:$B$3</c:f>
              <c:strCache>
                <c:ptCount val="2"/>
                <c:pt idx="0">
                  <c:v>Total Hospital</c:v>
                </c:pt>
                <c:pt idx="1">
                  <c:v>3843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29,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29, 2021'!$B$4:$B$16</c:f>
              <c:numCache>
                <c:formatCode>General</c:formatCode>
                <c:ptCount val="13"/>
                <c:pt idx="0">
                  <c:v>291</c:v>
                </c:pt>
                <c:pt idx="1">
                  <c:v>591</c:v>
                </c:pt>
                <c:pt idx="2" formatCode="0">
                  <c:v>1291</c:v>
                </c:pt>
                <c:pt idx="3" formatCode="#,##0">
                  <c:v>1217</c:v>
                </c:pt>
                <c:pt idx="4">
                  <c:v>1</c:v>
                </c:pt>
                <c:pt idx="5">
                  <c:v>4</c:v>
                </c:pt>
                <c:pt idx="6">
                  <c:v>272</c:v>
                </c:pt>
                <c:pt idx="7">
                  <c:v>0</c:v>
                </c:pt>
                <c:pt idx="8">
                  <c:v>175</c:v>
                </c:pt>
                <c:pt idx="9">
                  <c:v>1</c:v>
                </c:pt>
                <c:pt idx="10">
                  <c:v>0</c:v>
                </c:pt>
                <c:pt idx="11">
                  <c:v>0</c:v>
                </c:pt>
                <c:pt idx="12">
                  <c:v>0</c:v>
                </c:pt>
              </c:numCache>
            </c:numRef>
          </c:val>
          <c:extLst>
            <c:ext xmlns:c16="http://schemas.microsoft.com/office/drawing/2014/chart" uri="{C3380CC4-5D6E-409C-BE32-E72D297353CC}">
              <c16:uniqueId val="{00000000-E80E-B24D-846F-1193C109ADE1}"/>
            </c:ext>
          </c:extLst>
        </c:ser>
        <c:ser>
          <c:idx val="1"/>
          <c:order val="1"/>
          <c:tx>
            <c:strRef>
              <c:f>'January 29, 2021'!$C$2:$C$3</c:f>
              <c:strCache>
                <c:ptCount val="2"/>
                <c:pt idx="0">
                  <c:v>Total ICU</c:v>
                </c:pt>
                <c:pt idx="1">
                  <c:v>830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0E-B24D-846F-1193C109ADE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29,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29, 2021'!$C$4:$C$16</c:f>
              <c:numCache>
                <c:formatCode>General</c:formatCode>
                <c:ptCount val="13"/>
                <c:pt idx="0">
                  <c:v>75</c:v>
                </c:pt>
                <c:pt idx="1">
                  <c:v>112</c:v>
                </c:pt>
                <c:pt idx="2">
                  <c:v>360</c:v>
                </c:pt>
                <c:pt idx="3">
                  <c:v>209</c:v>
                </c:pt>
                <c:pt idx="4">
                  <c:v>0</c:v>
                </c:pt>
                <c:pt idx="5">
                  <c:v>2</c:v>
                </c:pt>
                <c:pt idx="6">
                  <c:v>39</c:v>
                </c:pt>
                <c:pt idx="7">
                  <c:v>0</c:v>
                </c:pt>
                <c:pt idx="8">
                  <c:v>33</c:v>
                </c:pt>
                <c:pt idx="9">
                  <c:v>0</c:v>
                </c:pt>
                <c:pt idx="10">
                  <c:v>0</c:v>
                </c:pt>
                <c:pt idx="11">
                  <c:v>0</c:v>
                </c:pt>
                <c:pt idx="12">
                  <c:v>0</c:v>
                </c:pt>
              </c:numCache>
            </c:numRef>
          </c:val>
          <c:extLst>
            <c:ext xmlns:c16="http://schemas.microsoft.com/office/drawing/2014/chart" uri="{C3380CC4-5D6E-409C-BE32-E72D297353CC}">
              <c16:uniqueId val="{00000002-E80E-B24D-846F-1193C109ADE1}"/>
            </c:ext>
          </c:extLst>
        </c:ser>
        <c:dLbls>
          <c:dLblPos val="outEnd"/>
          <c:showLegendKey val="0"/>
          <c:showVal val="1"/>
          <c:showCatName val="0"/>
          <c:showSerName val="0"/>
          <c:showPercent val="0"/>
          <c:showBubbleSize val="0"/>
        </c:dLbls>
        <c:gapWidth val="100"/>
        <c:overlap val="-24"/>
        <c:axId val="514318256"/>
        <c:axId val="514307672"/>
      </c:barChart>
      <c:catAx>
        <c:axId val="51431825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07672"/>
        <c:crosses val="autoZero"/>
        <c:auto val="1"/>
        <c:lblAlgn val="ctr"/>
        <c:lblOffset val="100"/>
        <c:noMultiLvlLbl val="0"/>
      </c:catAx>
      <c:valAx>
        <c:axId val="51430767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182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2022-04-22</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'April 22, 2022'!$B$2:$B$3</c:f>
              <c:strCache>
                <c:ptCount val="2"/>
                <c:pt idx="0">
                  <c:v>Total Hospital</c:v>
                </c:pt>
                <c:pt idx="1">
                  <c:v>6907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22,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22, 2022'!$B$4:$B$16</c:f>
              <c:numCache>
                <c:formatCode>General</c:formatCode>
                <c:ptCount val="13"/>
                <c:pt idx="0">
                  <c:v>485</c:v>
                </c:pt>
                <c:pt idx="1">
                  <c:v>1126</c:v>
                </c:pt>
                <c:pt idx="2" formatCode="0">
                  <c:v>1591</c:v>
                </c:pt>
                <c:pt idx="3" formatCode="#,##0">
                  <c:v>2410</c:v>
                </c:pt>
                <c:pt idx="4">
                  <c:v>64</c:v>
                </c:pt>
                <c:pt idx="5">
                  <c:v>192</c:v>
                </c:pt>
                <c:pt idx="6">
                  <c:v>538</c:v>
                </c:pt>
                <c:pt idx="7">
                  <c:v>16</c:v>
                </c:pt>
                <c:pt idx="8">
                  <c:v>417</c:v>
                </c:pt>
                <c:pt idx="9">
                  <c:v>25</c:v>
                </c:pt>
                <c:pt idx="10">
                  <c:v>8</c:v>
                </c:pt>
                <c:pt idx="11">
                  <c:v>2</c:v>
                </c:pt>
                <c:pt idx="12">
                  <c:v>33</c:v>
                </c:pt>
              </c:numCache>
            </c:numRef>
          </c:val>
          <c:extLst>
            <c:ext xmlns:c16="http://schemas.microsoft.com/office/drawing/2014/chart" uri="{C3380CC4-5D6E-409C-BE32-E72D297353CC}">
              <c16:uniqueId val="{00000000-EDA9-447A-B34A-7F5482B615D8}"/>
            </c:ext>
          </c:extLst>
        </c:ser>
        <c:ser>
          <c:idx val="1"/>
          <c:order val="1"/>
          <c:tx>
            <c:strRef>
              <c:f>'April 22, 2022'!$C$2:$C$3</c:f>
              <c:strCache>
                <c:ptCount val="2"/>
                <c:pt idx="0">
                  <c:v>Total ICU</c:v>
                </c:pt>
                <c:pt idx="1">
                  <c:v>471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22,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22, 2022'!$C$4:$C$16</c:f>
              <c:numCache>
                <c:formatCode>General</c:formatCode>
                <c:ptCount val="13"/>
                <c:pt idx="0">
                  <c:v>38</c:v>
                </c:pt>
                <c:pt idx="1">
                  <c:v>43</c:v>
                </c:pt>
                <c:pt idx="2">
                  <c:v>214</c:v>
                </c:pt>
                <c:pt idx="3">
                  <c:v>88</c:v>
                </c:pt>
                <c:pt idx="4">
                  <c:v>11</c:v>
                </c:pt>
                <c:pt idx="5">
                  <c:v>21</c:v>
                </c:pt>
                <c:pt idx="6">
                  <c:v>22</c:v>
                </c:pt>
                <c:pt idx="7">
                  <c:v>2</c:v>
                </c:pt>
                <c:pt idx="8">
                  <c:v>25</c:v>
                </c:pt>
                <c:pt idx="9">
                  <c:v>7</c:v>
                </c:pt>
                <c:pt idx="10">
                  <c:v>0</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45168"/>
        <c:axId val="451738504"/>
      </c:barChart>
      <c:catAx>
        <c:axId val="4517451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38504"/>
        <c:crosses val="autoZero"/>
        <c:auto val="1"/>
        <c:lblAlgn val="ctr"/>
        <c:lblOffset val="100"/>
        <c:noMultiLvlLbl val="0"/>
      </c:catAx>
      <c:valAx>
        <c:axId val="45173850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45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2021-01-27</a:t>
            </a:r>
          </a:p>
        </c:rich>
      </c:tx>
      <c:layout>
        <c:manualLayout>
          <c:xMode val="edge"/>
          <c:yMode val="edge"/>
          <c:x val="0.119761317492972"/>
          <c:y val="2.360897109032057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'January 27, 2021'!$B$2:$B$3</c:f>
              <c:strCache>
                <c:ptCount val="2"/>
                <c:pt idx="0">
                  <c:v>Total Hospital</c:v>
                </c:pt>
                <c:pt idx="1">
                  <c:v>4074</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27,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27, 2021'!$B$4:$B$16</c:f>
              <c:numCache>
                <c:formatCode>General</c:formatCode>
                <c:ptCount val="13"/>
                <c:pt idx="0">
                  <c:v>313</c:v>
                </c:pt>
                <c:pt idx="1">
                  <c:v>626</c:v>
                </c:pt>
                <c:pt idx="2" formatCode="0">
                  <c:v>1382</c:v>
                </c:pt>
                <c:pt idx="3" formatCode="#,##0">
                  <c:v>1290</c:v>
                </c:pt>
                <c:pt idx="4">
                  <c:v>0</c:v>
                </c:pt>
                <c:pt idx="5">
                  <c:v>6</c:v>
                </c:pt>
                <c:pt idx="6">
                  <c:v>281</c:v>
                </c:pt>
                <c:pt idx="7">
                  <c:v>0</c:v>
                </c:pt>
                <c:pt idx="8">
                  <c:v>175</c:v>
                </c:pt>
                <c:pt idx="9">
                  <c:v>1</c:v>
                </c:pt>
                <c:pt idx="10">
                  <c:v>0</c:v>
                </c:pt>
                <c:pt idx="11">
                  <c:v>0</c:v>
                </c:pt>
                <c:pt idx="12">
                  <c:v>0</c:v>
                </c:pt>
              </c:numCache>
            </c:numRef>
          </c:val>
          <c:extLst>
            <c:ext xmlns:c16="http://schemas.microsoft.com/office/drawing/2014/chart" uri="{C3380CC4-5D6E-409C-BE32-E72D297353CC}">
              <c16:uniqueId val="{00000000-C6D9-6B4B-8989-9CD5E858304E}"/>
            </c:ext>
          </c:extLst>
        </c:ser>
        <c:ser>
          <c:idx val="1"/>
          <c:order val="1"/>
          <c:tx>
            <c:strRef>
              <c:f>'January 27, 2021'!$C$2:$C$3</c:f>
              <c:strCache>
                <c:ptCount val="2"/>
                <c:pt idx="0">
                  <c:v>Total ICU</c:v>
                </c:pt>
                <c:pt idx="1">
                  <c:v>848</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6D9-6B4B-8989-9CD5E858304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27,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27, 2021'!$C$4:$C$16</c:f>
              <c:numCache>
                <c:formatCode>General</c:formatCode>
                <c:ptCount val="13"/>
                <c:pt idx="0">
                  <c:v>71</c:v>
                </c:pt>
                <c:pt idx="1">
                  <c:v>108</c:v>
                </c:pt>
                <c:pt idx="2">
                  <c:v>377</c:v>
                </c:pt>
                <c:pt idx="3">
                  <c:v>221</c:v>
                </c:pt>
                <c:pt idx="4">
                  <c:v>0</c:v>
                </c:pt>
                <c:pt idx="5">
                  <c:v>2</c:v>
                </c:pt>
                <c:pt idx="6">
                  <c:v>36</c:v>
                </c:pt>
                <c:pt idx="7">
                  <c:v>0</c:v>
                </c:pt>
                <c:pt idx="8">
                  <c:v>33</c:v>
                </c:pt>
                <c:pt idx="9">
                  <c:v>0</c:v>
                </c:pt>
                <c:pt idx="10">
                  <c:v>0</c:v>
                </c:pt>
                <c:pt idx="11">
                  <c:v>0</c:v>
                </c:pt>
                <c:pt idx="12">
                  <c:v>0</c:v>
                </c:pt>
              </c:numCache>
            </c:numRef>
          </c:val>
          <c:extLst>
            <c:ext xmlns:c16="http://schemas.microsoft.com/office/drawing/2014/chart" uri="{C3380CC4-5D6E-409C-BE32-E72D297353CC}">
              <c16:uniqueId val="{00000002-C6D9-6B4B-8989-9CD5E858304E}"/>
            </c:ext>
          </c:extLst>
        </c:ser>
        <c:dLbls>
          <c:dLblPos val="outEnd"/>
          <c:showLegendKey val="0"/>
          <c:showVal val="1"/>
          <c:showCatName val="0"/>
          <c:showSerName val="0"/>
          <c:showPercent val="0"/>
          <c:showBubbleSize val="0"/>
        </c:dLbls>
        <c:gapWidth val="100"/>
        <c:overlap val="-24"/>
        <c:axId val="514319432"/>
        <c:axId val="514311984"/>
      </c:barChart>
      <c:catAx>
        <c:axId val="51431943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11984"/>
        <c:crosses val="autoZero"/>
        <c:auto val="1"/>
        <c:lblAlgn val="ctr"/>
        <c:lblOffset val="100"/>
        <c:noMultiLvlLbl val="0"/>
      </c:catAx>
      <c:valAx>
        <c:axId val="51431198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19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2021-01-25</a:t>
            </a:r>
          </a:p>
        </c:rich>
      </c:tx>
      <c:layout>
        <c:manualLayout>
          <c:xMode val="edge"/>
          <c:yMode val="edge"/>
          <c:x val="0.119761317492972"/>
          <c:y val="2.360897109032057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'January 25, 2021'!$B$2:$B$3</c:f>
              <c:strCache>
                <c:ptCount val="2"/>
                <c:pt idx="0">
                  <c:v>Total Hospital</c:v>
                </c:pt>
                <c:pt idx="1">
                  <c:v>4210</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25,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25, 2021'!$B$4:$B$16</c:f>
              <c:numCache>
                <c:formatCode>General</c:formatCode>
                <c:ptCount val="13"/>
                <c:pt idx="0">
                  <c:v>315</c:v>
                </c:pt>
                <c:pt idx="1">
                  <c:v>652</c:v>
                </c:pt>
                <c:pt idx="2" formatCode="0">
                  <c:v>1436</c:v>
                </c:pt>
                <c:pt idx="3" formatCode="#,##0">
                  <c:v>1327</c:v>
                </c:pt>
                <c:pt idx="4">
                  <c:v>0</c:v>
                </c:pt>
                <c:pt idx="5">
                  <c:v>5</c:v>
                </c:pt>
                <c:pt idx="6">
                  <c:v>278</c:v>
                </c:pt>
                <c:pt idx="7">
                  <c:v>0</c:v>
                </c:pt>
                <c:pt idx="8">
                  <c:v>196</c:v>
                </c:pt>
                <c:pt idx="9">
                  <c:v>1</c:v>
                </c:pt>
                <c:pt idx="10">
                  <c:v>0</c:v>
                </c:pt>
                <c:pt idx="11">
                  <c:v>0</c:v>
                </c:pt>
                <c:pt idx="12">
                  <c:v>0</c:v>
                </c:pt>
              </c:numCache>
            </c:numRef>
          </c:val>
          <c:extLst>
            <c:ext xmlns:c16="http://schemas.microsoft.com/office/drawing/2014/chart" uri="{C3380CC4-5D6E-409C-BE32-E72D297353CC}">
              <c16:uniqueId val="{00000000-6961-AE4C-9BBC-E95A8C837FC2}"/>
            </c:ext>
          </c:extLst>
        </c:ser>
        <c:ser>
          <c:idx val="1"/>
          <c:order val="1"/>
          <c:tx>
            <c:strRef>
              <c:f>'January 25, 2021'!$C$2:$C$3</c:f>
              <c:strCache>
                <c:ptCount val="2"/>
                <c:pt idx="0">
                  <c:v>Total ICU</c:v>
                </c:pt>
                <c:pt idx="1">
                  <c:v>872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961-AE4C-9BBC-E95A8C837FC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25,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25, 2021'!$C$4:$C$16</c:f>
              <c:numCache>
                <c:formatCode>General</c:formatCode>
                <c:ptCount val="13"/>
                <c:pt idx="0">
                  <c:v>74</c:v>
                </c:pt>
                <c:pt idx="1">
                  <c:v>111</c:v>
                </c:pt>
                <c:pt idx="2">
                  <c:v>392</c:v>
                </c:pt>
                <c:pt idx="3">
                  <c:v>219</c:v>
                </c:pt>
                <c:pt idx="4">
                  <c:v>0</c:v>
                </c:pt>
                <c:pt idx="5">
                  <c:v>2</c:v>
                </c:pt>
                <c:pt idx="6">
                  <c:v>42</c:v>
                </c:pt>
                <c:pt idx="7">
                  <c:v>0</c:v>
                </c:pt>
                <c:pt idx="8">
                  <c:v>32</c:v>
                </c:pt>
                <c:pt idx="9">
                  <c:v>0</c:v>
                </c:pt>
                <c:pt idx="10">
                  <c:v>0</c:v>
                </c:pt>
                <c:pt idx="11">
                  <c:v>0</c:v>
                </c:pt>
                <c:pt idx="12">
                  <c:v>0</c:v>
                </c:pt>
              </c:numCache>
            </c:numRef>
          </c:val>
          <c:extLst>
            <c:ext xmlns:c16="http://schemas.microsoft.com/office/drawing/2014/chart" uri="{C3380CC4-5D6E-409C-BE32-E72D297353CC}">
              <c16:uniqueId val="{00000002-6961-AE4C-9BBC-E95A8C837FC2}"/>
            </c:ext>
          </c:extLst>
        </c:ser>
        <c:dLbls>
          <c:dLblPos val="outEnd"/>
          <c:showLegendKey val="0"/>
          <c:showVal val="1"/>
          <c:showCatName val="0"/>
          <c:showSerName val="0"/>
          <c:showPercent val="0"/>
          <c:showBubbleSize val="0"/>
        </c:dLbls>
        <c:gapWidth val="100"/>
        <c:overlap val="-24"/>
        <c:axId val="514317472"/>
        <c:axId val="514321392"/>
      </c:barChart>
      <c:catAx>
        <c:axId val="51431747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21392"/>
        <c:crosses val="autoZero"/>
        <c:auto val="1"/>
        <c:lblAlgn val="ctr"/>
        <c:lblOffset val="100"/>
        <c:noMultiLvlLbl val="0"/>
      </c:catAx>
      <c:valAx>
        <c:axId val="51432139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17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2021-01-22</a:t>
            </a:r>
          </a:p>
        </c:rich>
      </c:tx>
      <c:layout>
        <c:manualLayout>
          <c:xMode val="edge"/>
          <c:yMode val="edge"/>
          <c:x val="0.119761317492972"/>
          <c:y val="2.360897109032057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'January 22, 2021'!$B$2:$B$3</c:f>
              <c:strCache>
                <c:ptCount val="2"/>
                <c:pt idx="0">
                  <c:v>Total Hospital</c:v>
                </c:pt>
                <c:pt idx="1">
                  <c:v>4442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22,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22, 2021'!$B$4:$B$16</c:f>
              <c:numCache>
                <c:formatCode>General</c:formatCode>
                <c:ptCount val="13"/>
                <c:pt idx="0">
                  <c:v>309</c:v>
                </c:pt>
                <c:pt idx="1">
                  <c:v>726</c:v>
                </c:pt>
                <c:pt idx="2" formatCode="0">
                  <c:v>1512</c:v>
                </c:pt>
                <c:pt idx="3" formatCode="#,##0">
                  <c:v>1426</c:v>
                </c:pt>
                <c:pt idx="4">
                  <c:v>0</c:v>
                </c:pt>
                <c:pt idx="5">
                  <c:v>3</c:v>
                </c:pt>
                <c:pt idx="6">
                  <c:v>268</c:v>
                </c:pt>
                <c:pt idx="7">
                  <c:v>0</c:v>
                </c:pt>
                <c:pt idx="8">
                  <c:v>197</c:v>
                </c:pt>
                <c:pt idx="9">
                  <c:v>1</c:v>
                </c:pt>
                <c:pt idx="10">
                  <c:v>0</c:v>
                </c:pt>
                <c:pt idx="11">
                  <c:v>0</c:v>
                </c:pt>
                <c:pt idx="12">
                  <c:v>0</c:v>
                </c:pt>
              </c:numCache>
            </c:numRef>
          </c:val>
          <c:extLst>
            <c:ext xmlns:c16="http://schemas.microsoft.com/office/drawing/2014/chart" uri="{C3380CC4-5D6E-409C-BE32-E72D297353CC}">
              <c16:uniqueId val="{00000000-946F-9740-8B81-4ABEB856EC42}"/>
            </c:ext>
          </c:extLst>
        </c:ser>
        <c:ser>
          <c:idx val="1"/>
          <c:order val="1"/>
          <c:tx>
            <c:strRef>
              <c:f>'January 22, 2021'!$C$2:$C$3</c:f>
              <c:strCache>
                <c:ptCount val="2"/>
                <c:pt idx="0">
                  <c:v>Total ICU</c:v>
                </c:pt>
                <c:pt idx="1">
                  <c:v>849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6F-9740-8B81-4ABEB856EC4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22,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22, 2021'!$C$4:$C$16</c:f>
              <c:numCache>
                <c:formatCode>General</c:formatCode>
                <c:ptCount val="13"/>
                <c:pt idx="0">
                  <c:v>68</c:v>
                </c:pt>
                <c:pt idx="1">
                  <c:v>119</c:v>
                </c:pt>
                <c:pt idx="2">
                  <c:v>383</c:v>
                </c:pt>
                <c:pt idx="3">
                  <c:v>212</c:v>
                </c:pt>
                <c:pt idx="4">
                  <c:v>0</c:v>
                </c:pt>
                <c:pt idx="5">
                  <c:v>2</c:v>
                </c:pt>
                <c:pt idx="6">
                  <c:v>34</c:v>
                </c:pt>
                <c:pt idx="7">
                  <c:v>0</c:v>
                </c:pt>
                <c:pt idx="8">
                  <c:v>31</c:v>
                </c:pt>
                <c:pt idx="9">
                  <c:v>0</c:v>
                </c:pt>
                <c:pt idx="10">
                  <c:v>0</c:v>
                </c:pt>
                <c:pt idx="11">
                  <c:v>0</c:v>
                </c:pt>
                <c:pt idx="12">
                  <c:v>0</c:v>
                </c:pt>
              </c:numCache>
            </c:numRef>
          </c:val>
          <c:extLst>
            <c:ext xmlns:c16="http://schemas.microsoft.com/office/drawing/2014/chart" uri="{C3380CC4-5D6E-409C-BE32-E72D297353CC}">
              <c16:uniqueId val="{00000002-946F-9740-8B81-4ABEB856EC42}"/>
            </c:ext>
          </c:extLst>
        </c:ser>
        <c:dLbls>
          <c:dLblPos val="outEnd"/>
          <c:showLegendKey val="0"/>
          <c:showVal val="1"/>
          <c:showCatName val="0"/>
          <c:showSerName val="0"/>
          <c:showPercent val="0"/>
          <c:showBubbleSize val="0"/>
        </c:dLbls>
        <c:gapWidth val="100"/>
        <c:overlap val="-24"/>
        <c:axId val="514320216"/>
        <c:axId val="514326880"/>
      </c:barChart>
      <c:catAx>
        <c:axId val="51432021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26880"/>
        <c:crosses val="autoZero"/>
        <c:auto val="1"/>
        <c:lblAlgn val="ctr"/>
        <c:lblOffset val="100"/>
        <c:noMultiLvlLbl val="0"/>
      </c:catAx>
      <c:valAx>
        <c:axId val="5143268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202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2021-01-20</a:t>
            </a:r>
          </a:p>
        </c:rich>
      </c:tx>
      <c:layout>
        <c:manualLayout>
          <c:xMode val="edge"/>
          <c:yMode val="edge"/>
          <c:x val="0.119761317492972"/>
          <c:y val="2.360897109032057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'January 20, 2021'!$B$2:$B$3</c:f>
              <c:strCache>
                <c:ptCount val="2"/>
                <c:pt idx="0">
                  <c:v>Total Hospital</c:v>
                </c:pt>
                <c:pt idx="1">
                  <c:v>4591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20,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20, 2021'!$B$4:$B$16</c:f>
              <c:numCache>
                <c:formatCode>General</c:formatCode>
                <c:ptCount val="13"/>
                <c:pt idx="0">
                  <c:v>329</c:v>
                </c:pt>
                <c:pt idx="1">
                  <c:v>740</c:v>
                </c:pt>
                <c:pt idx="2" formatCode="0">
                  <c:v>1598</c:v>
                </c:pt>
                <c:pt idx="3" formatCode="#,##0">
                  <c:v>1467</c:v>
                </c:pt>
                <c:pt idx="4">
                  <c:v>0</c:v>
                </c:pt>
                <c:pt idx="5">
                  <c:v>1</c:v>
                </c:pt>
                <c:pt idx="6">
                  <c:v>279</c:v>
                </c:pt>
                <c:pt idx="7">
                  <c:v>0</c:v>
                </c:pt>
                <c:pt idx="8">
                  <c:v>176</c:v>
                </c:pt>
                <c:pt idx="9">
                  <c:v>1</c:v>
                </c:pt>
                <c:pt idx="10">
                  <c:v>0</c:v>
                </c:pt>
                <c:pt idx="11">
                  <c:v>0</c:v>
                </c:pt>
                <c:pt idx="12">
                  <c:v>0</c:v>
                </c:pt>
              </c:numCache>
            </c:numRef>
          </c:val>
          <c:extLst>
            <c:ext xmlns:c16="http://schemas.microsoft.com/office/drawing/2014/chart" uri="{C3380CC4-5D6E-409C-BE32-E72D297353CC}">
              <c16:uniqueId val="{00000000-418D-284D-8D86-0027794C4B58}"/>
            </c:ext>
          </c:extLst>
        </c:ser>
        <c:ser>
          <c:idx val="1"/>
          <c:order val="1"/>
          <c:tx>
            <c:strRef>
              <c:f>'January 20, 2021'!$C$2:$C$3</c:f>
              <c:strCache>
                <c:ptCount val="2"/>
                <c:pt idx="0">
                  <c:v>Total ICU</c:v>
                </c:pt>
                <c:pt idx="1">
                  <c:v>868</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18D-284D-8D86-0027794C4B5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20,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20, 2021'!$C$4:$C$16</c:f>
              <c:numCache>
                <c:formatCode>General</c:formatCode>
                <c:ptCount val="13"/>
                <c:pt idx="0">
                  <c:v>70</c:v>
                </c:pt>
                <c:pt idx="1">
                  <c:v>119</c:v>
                </c:pt>
                <c:pt idx="2">
                  <c:v>395</c:v>
                </c:pt>
                <c:pt idx="3">
                  <c:v>216</c:v>
                </c:pt>
                <c:pt idx="4">
                  <c:v>0</c:v>
                </c:pt>
                <c:pt idx="5">
                  <c:v>0</c:v>
                </c:pt>
                <c:pt idx="6">
                  <c:v>37</c:v>
                </c:pt>
                <c:pt idx="7">
                  <c:v>0</c:v>
                </c:pt>
                <c:pt idx="8">
                  <c:v>31</c:v>
                </c:pt>
                <c:pt idx="9">
                  <c:v>0</c:v>
                </c:pt>
                <c:pt idx="10">
                  <c:v>0</c:v>
                </c:pt>
                <c:pt idx="11">
                  <c:v>0</c:v>
                </c:pt>
                <c:pt idx="12">
                  <c:v>0</c:v>
                </c:pt>
              </c:numCache>
            </c:numRef>
          </c:val>
          <c:extLst>
            <c:ext xmlns:c16="http://schemas.microsoft.com/office/drawing/2014/chart" uri="{C3380CC4-5D6E-409C-BE32-E72D297353CC}">
              <c16:uniqueId val="{00000002-418D-284D-8D86-0027794C4B58}"/>
            </c:ext>
          </c:extLst>
        </c:ser>
        <c:dLbls>
          <c:dLblPos val="outEnd"/>
          <c:showLegendKey val="0"/>
          <c:showVal val="1"/>
          <c:showCatName val="0"/>
          <c:showSerName val="0"/>
          <c:showPercent val="0"/>
          <c:showBubbleSize val="0"/>
        </c:dLbls>
        <c:gapWidth val="100"/>
        <c:overlap val="-24"/>
        <c:axId val="514330800"/>
        <c:axId val="514329232"/>
      </c:barChart>
      <c:catAx>
        <c:axId val="51433080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29232"/>
        <c:crosses val="autoZero"/>
        <c:auto val="1"/>
        <c:lblAlgn val="ctr"/>
        <c:lblOffset val="100"/>
        <c:noMultiLvlLbl val="0"/>
      </c:catAx>
      <c:valAx>
        <c:axId val="51432923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30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2021-01-18</a:t>
            </a:r>
          </a:p>
        </c:rich>
      </c:tx>
      <c:layout>
        <c:manualLayout>
          <c:xMode val="edge"/>
          <c:yMode val="edge"/>
          <c:x val="0.119761317492972"/>
          <c:y val="2.360897109032057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'January 18, 2021'!$B$2:$B$3</c:f>
              <c:strCache>
                <c:ptCount val="2"/>
                <c:pt idx="0">
                  <c:v>Total Hospital</c:v>
                </c:pt>
                <c:pt idx="1">
                  <c:v>4643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18,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18, 2021'!$B$4:$B$16</c:f>
              <c:numCache>
                <c:formatCode>General</c:formatCode>
                <c:ptCount val="13"/>
                <c:pt idx="0">
                  <c:v>349</c:v>
                </c:pt>
                <c:pt idx="1">
                  <c:v>738</c:v>
                </c:pt>
                <c:pt idx="2" formatCode="0">
                  <c:v>1571</c:v>
                </c:pt>
                <c:pt idx="3" formatCode="#,##0">
                  <c:v>1491</c:v>
                </c:pt>
                <c:pt idx="4">
                  <c:v>0</c:v>
                </c:pt>
                <c:pt idx="5">
                  <c:v>1</c:v>
                </c:pt>
                <c:pt idx="6">
                  <c:v>289</c:v>
                </c:pt>
                <c:pt idx="7">
                  <c:v>0</c:v>
                </c:pt>
                <c:pt idx="8">
                  <c:v>203</c:v>
                </c:pt>
                <c:pt idx="9">
                  <c:v>1</c:v>
                </c:pt>
                <c:pt idx="10">
                  <c:v>0</c:v>
                </c:pt>
                <c:pt idx="11">
                  <c:v>0</c:v>
                </c:pt>
                <c:pt idx="12">
                  <c:v>0</c:v>
                </c:pt>
              </c:numCache>
            </c:numRef>
          </c:val>
          <c:extLst>
            <c:ext xmlns:c16="http://schemas.microsoft.com/office/drawing/2014/chart" uri="{C3380CC4-5D6E-409C-BE32-E72D297353CC}">
              <c16:uniqueId val="{00000000-022D-3149-B3DA-D85327D3687F}"/>
            </c:ext>
          </c:extLst>
        </c:ser>
        <c:ser>
          <c:idx val="1"/>
          <c:order val="1"/>
          <c:tx>
            <c:strRef>
              <c:f>'January 18, 2021'!$C$2:$C$3</c:f>
              <c:strCache>
                <c:ptCount val="2"/>
                <c:pt idx="0">
                  <c:v>Total ICU</c:v>
                </c:pt>
                <c:pt idx="1">
                  <c:v>870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2D-3149-B3DA-D85327D3687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18,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18, 2021'!$C$4:$C$16</c:f>
              <c:numCache>
                <c:formatCode>General</c:formatCode>
                <c:ptCount val="13"/>
                <c:pt idx="0">
                  <c:v>68</c:v>
                </c:pt>
                <c:pt idx="1">
                  <c:v>123</c:v>
                </c:pt>
                <c:pt idx="2">
                  <c:v>394</c:v>
                </c:pt>
                <c:pt idx="3">
                  <c:v>217</c:v>
                </c:pt>
                <c:pt idx="4">
                  <c:v>0</c:v>
                </c:pt>
                <c:pt idx="5">
                  <c:v>0</c:v>
                </c:pt>
                <c:pt idx="6">
                  <c:v>35</c:v>
                </c:pt>
                <c:pt idx="7">
                  <c:v>0</c:v>
                </c:pt>
                <c:pt idx="8">
                  <c:v>33</c:v>
                </c:pt>
                <c:pt idx="9">
                  <c:v>0</c:v>
                </c:pt>
                <c:pt idx="10">
                  <c:v>0</c:v>
                </c:pt>
                <c:pt idx="11">
                  <c:v>0</c:v>
                </c:pt>
                <c:pt idx="12">
                  <c:v>0</c:v>
                </c:pt>
              </c:numCache>
            </c:numRef>
          </c:val>
          <c:extLst>
            <c:ext xmlns:c16="http://schemas.microsoft.com/office/drawing/2014/chart" uri="{C3380CC4-5D6E-409C-BE32-E72D297353CC}">
              <c16:uniqueId val="{00000002-022D-3149-B3DA-D85327D3687F}"/>
            </c:ext>
          </c:extLst>
        </c:ser>
        <c:dLbls>
          <c:dLblPos val="outEnd"/>
          <c:showLegendKey val="0"/>
          <c:showVal val="1"/>
          <c:showCatName val="0"/>
          <c:showSerName val="0"/>
          <c:showPercent val="0"/>
          <c:showBubbleSize val="0"/>
        </c:dLbls>
        <c:gapWidth val="100"/>
        <c:overlap val="-24"/>
        <c:axId val="514326096"/>
        <c:axId val="514327272"/>
      </c:barChart>
      <c:catAx>
        <c:axId val="51432609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27272"/>
        <c:crosses val="autoZero"/>
        <c:auto val="1"/>
        <c:lblAlgn val="ctr"/>
        <c:lblOffset val="100"/>
        <c:noMultiLvlLbl val="0"/>
      </c:catAx>
      <c:valAx>
        <c:axId val="51432727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26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2021-01-13</a:t>
            </a:r>
          </a:p>
        </c:rich>
      </c:tx>
      <c:layout>
        <c:manualLayout>
          <c:xMode val="edge"/>
          <c:yMode val="edge"/>
          <c:x val="0.119761317492972"/>
          <c:y val="2.360897109032057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'January 13, 2021'!$B$2:$B$3</c:f>
              <c:strCache>
                <c:ptCount val="2"/>
                <c:pt idx="0">
                  <c:v>Total Hospital</c:v>
                </c:pt>
                <c:pt idx="1">
                  <c:v>4850</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13,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13, 2021'!$B$4:$B$16</c:f>
              <c:numCache>
                <c:formatCode>General</c:formatCode>
                <c:ptCount val="13"/>
                <c:pt idx="0">
                  <c:v>368</c:v>
                </c:pt>
                <c:pt idx="1">
                  <c:v>819</c:v>
                </c:pt>
                <c:pt idx="2" formatCode="0">
                  <c:v>1701</c:v>
                </c:pt>
                <c:pt idx="3" formatCode="#,##0">
                  <c:v>1497</c:v>
                </c:pt>
                <c:pt idx="4">
                  <c:v>0</c:v>
                </c:pt>
                <c:pt idx="5">
                  <c:v>0</c:v>
                </c:pt>
                <c:pt idx="6">
                  <c:v>302</c:v>
                </c:pt>
                <c:pt idx="7">
                  <c:v>0</c:v>
                </c:pt>
                <c:pt idx="8">
                  <c:v>162</c:v>
                </c:pt>
                <c:pt idx="9">
                  <c:v>1</c:v>
                </c:pt>
                <c:pt idx="10">
                  <c:v>0</c:v>
                </c:pt>
                <c:pt idx="11">
                  <c:v>0</c:v>
                </c:pt>
                <c:pt idx="12">
                  <c:v>0</c:v>
                </c:pt>
              </c:numCache>
            </c:numRef>
          </c:val>
          <c:extLst>
            <c:ext xmlns:c16="http://schemas.microsoft.com/office/drawing/2014/chart" uri="{C3380CC4-5D6E-409C-BE32-E72D297353CC}">
              <c16:uniqueId val="{00000000-6337-1144-A9C1-565587325C79}"/>
            </c:ext>
          </c:extLst>
        </c:ser>
        <c:ser>
          <c:idx val="1"/>
          <c:order val="1"/>
          <c:tx>
            <c:strRef>
              <c:f>'January 13, 2021'!$C$2:$C$3</c:f>
              <c:strCache>
                <c:ptCount val="2"/>
                <c:pt idx="0">
                  <c:v>Total ICU</c:v>
                </c:pt>
                <c:pt idx="1">
                  <c:v>874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337-1144-A9C1-565587325C7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13,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13, 2021'!$C$4:$C$16</c:f>
              <c:numCache>
                <c:formatCode>General</c:formatCode>
                <c:ptCount val="13"/>
                <c:pt idx="0">
                  <c:v>72</c:v>
                </c:pt>
                <c:pt idx="1">
                  <c:v>132</c:v>
                </c:pt>
                <c:pt idx="2">
                  <c:v>385</c:v>
                </c:pt>
                <c:pt idx="3">
                  <c:v>221</c:v>
                </c:pt>
                <c:pt idx="4">
                  <c:v>0</c:v>
                </c:pt>
                <c:pt idx="5">
                  <c:v>0</c:v>
                </c:pt>
                <c:pt idx="6">
                  <c:v>35</c:v>
                </c:pt>
                <c:pt idx="7">
                  <c:v>0</c:v>
                </c:pt>
                <c:pt idx="8">
                  <c:v>29</c:v>
                </c:pt>
                <c:pt idx="9">
                  <c:v>0</c:v>
                </c:pt>
                <c:pt idx="10">
                  <c:v>0</c:v>
                </c:pt>
                <c:pt idx="11">
                  <c:v>0</c:v>
                </c:pt>
                <c:pt idx="12">
                  <c:v>0</c:v>
                </c:pt>
              </c:numCache>
            </c:numRef>
          </c:val>
          <c:extLst>
            <c:ext xmlns:c16="http://schemas.microsoft.com/office/drawing/2014/chart" uri="{C3380CC4-5D6E-409C-BE32-E72D297353CC}">
              <c16:uniqueId val="{00000002-6337-1144-A9C1-565587325C79}"/>
            </c:ext>
          </c:extLst>
        </c:ser>
        <c:dLbls>
          <c:dLblPos val="outEnd"/>
          <c:showLegendKey val="0"/>
          <c:showVal val="1"/>
          <c:showCatName val="0"/>
          <c:showSerName val="0"/>
          <c:showPercent val="0"/>
          <c:showBubbleSize val="0"/>
        </c:dLbls>
        <c:gapWidth val="100"/>
        <c:overlap val="-24"/>
        <c:axId val="514321784"/>
        <c:axId val="514323744"/>
      </c:barChart>
      <c:catAx>
        <c:axId val="51432178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23744"/>
        <c:crosses val="autoZero"/>
        <c:auto val="1"/>
        <c:lblAlgn val="ctr"/>
        <c:lblOffset val="100"/>
        <c:noMultiLvlLbl val="0"/>
      </c:catAx>
      <c:valAx>
        <c:axId val="51432374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21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2021-01-11</a:t>
            </a:r>
          </a:p>
        </c:rich>
      </c:tx>
      <c:layout>
        <c:manualLayout>
          <c:xMode val="edge"/>
          <c:yMode val="edge"/>
          <c:x val="0.10229875601020344"/>
          <c:y val="1.9209611803307765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'January 11, 2021'!$B$2:$B$3</c:f>
              <c:strCache>
                <c:ptCount val="2"/>
                <c:pt idx="0">
                  <c:v>Total Hospital</c:v>
                </c:pt>
                <c:pt idx="1">
                  <c:v>4517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11,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11, 2021'!$B$4:$B$16</c:f>
              <c:numCache>
                <c:formatCode>General</c:formatCode>
                <c:ptCount val="13"/>
                <c:pt idx="0">
                  <c:v>358</c:v>
                </c:pt>
                <c:pt idx="1">
                  <c:v>794</c:v>
                </c:pt>
                <c:pt idx="2" formatCode="0">
                  <c:v>1483</c:v>
                </c:pt>
                <c:pt idx="3" formatCode="#,##0">
                  <c:v>1380</c:v>
                </c:pt>
                <c:pt idx="4">
                  <c:v>0</c:v>
                </c:pt>
                <c:pt idx="5">
                  <c:v>0</c:v>
                </c:pt>
                <c:pt idx="6">
                  <c:v>322</c:v>
                </c:pt>
                <c:pt idx="7">
                  <c:v>0</c:v>
                </c:pt>
                <c:pt idx="8">
                  <c:v>179</c:v>
                </c:pt>
                <c:pt idx="9">
                  <c:v>1</c:v>
                </c:pt>
                <c:pt idx="10">
                  <c:v>0</c:v>
                </c:pt>
                <c:pt idx="11">
                  <c:v>0</c:v>
                </c:pt>
                <c:pt idx="12">
                  <c:v>0</c:v>
                </c:pt>
              </c:numCache>
            </c:numRef>
          </c:val>
          <c:extLst>
            <c:ext xmlns:c16="http://schemas.microsoft.com/office/drawing/2014/chart" uri="{C3380CC4-5D6E-409C-BE32-E72D297353CC}">
              <c16:uniqueId val="{00000000-5540-CA43-84D1-AC7841BE139E}"/>
            </c:ext>
          </c:extLst>
        </c:ser>
        <c:ser>
          <c:idx val="1"/>
          <c:order val="1"/>
          <c:tx>
            <c:strRef>
              <c:f>'January 11, 2021'!$C$2:$C$3</c:f>
              <c:strCache>
                <c:ptCount val="2"/>
                <c:pt idx="0">
                  <c:v>Total ICU</c:v>
                </c:pt>
                <c:pt idx="1">
                  <c:v>860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40-CA43-84D1-AC7841BE139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11,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11, 2021'!$C$4:$C$16</c:f>
              <c:numCache>
                <c:formatCode>General</c:formatCode>
                <c:ptCount val="13"/>
                <c:pt idx="0">
                  <c:v>75</c:v>
                </c:pt>
                <c:pt idx="1">
                  <c:v>128</c:v>
                </c:pt>
                <c:pt idx="2">
                  <c:v>388</c:v>
                </c:pt>
                <c:pt idx="3">
                  <c:v>203</c:v>
                </c:pt>
                <c:pt idx="4">
                  <c:v>0</c:v>
                </c:pt>
                <c:pt idx="5">
                  <c:v>0</c:v>
                </c:pt>
                <c:pt idx="6">
                  <c:v>36</c:v>
                </c:pt>
                <c:pt idx="7">
                  <c:v>0</c:v>
                </c:pt>
                <c:pt idx="8">
                  <c:v>30</c:v>
                </c:pt>
                <c:pt idx="9">
                  <c:v>0</c:v>
                </c:pt>
                <c:pt idx="10">
                  <c:v>0</c:v>
                </c:pt>
                <c:pt idx="11">
                  <c:v>0</c:v>
                </c:pt>
                <c:pt idx="12">
                  <c:v>0</c:v>
                </c:pt>
              </c:numCache>
            </c:numRef>
          </c:val>
          <c:extLst>
            <c:ext xmlns:c16="http://schemas.microsoft.com/office/drawing/2014/chart" uri="{C3380CC4-5D6E-409C-BE32-E72D297353CC}">
              <c16:uniqueId val="{00000002-5540-CA43-84D1-AC7841BE139E}"/>
            </c:ext>
          </c:extLst>
        </c:ser>
        <c:dLbls>
          <c:dLblPos val="outEnd"/>
          <c:showLegendKey val="0"/>
          <c:showVal val="1"/>
          <c:showCatName val="0"/>
          <c:showSerName val="0"/>
          <c:showPercent val="0"/>
          <c:showBubbleSize val="0"/>
        </c:dLbls>
        <c:gapWidth val="100"/>
        <c:overlap val="-24"/>
        <c:axId val="514322176"/>
        <c:axId val="514322568"/>
      </c:barChart>
      <c:catAx>
        <c:axId val="51432217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22568"/>
        <c:crosses val="autoZero"/>
        <c:auto val="1"/>
        <c:lblAlgn val="ctr"/>
        <c:lblOffset val="100"/>
        <c:noMultiLvlLbl val="0"/>
      </c:catAx>
      <c:valAx>
        <c:axId val="51432256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22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2021-01-08</a:t>
            </a:r>
          </a:p>
        </c:rich>
      </c:tx>
      <c:layout>
        <c:manualLayout>
          <c:xMode val="edge"/>
          <c:yMode val="edge"/>
          <c:x val="0.10229875601020344"/>
          <c:y val="1.9209611803307765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'January 8, 2021'!$B$2:$B$3</c:f>
              <c:strCache>
                <c:ptCount val="2"/>
                <c:pt idx="0">
                  <c:v>Total Hospital</c:v>
                </c:pt>
                <c:pt idx="1">
                  <c:v>4592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8,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8, 2021'!$B$4:$B$16</c:f>
              <c:numCache>
                <c:formatCode>General</c:formatCode>
                <c:ptCount val="13"/>
                <c:pt idx="0">
                  <c:v>372</c:v>
                </c:pt>
                <c:pt idx="1">
                  <c:v>871</c:v>
                </c:pt>
                <c:pt idx="2" formatCode="0">
                  <c:v>1472</c:v>
                </c:pt>
                <c:pt idx="3" formatCode="#,##0">
                  <c:v>1380</c:v>
                </c:pt>
                <c:pt idx="4">
                  <c:v>0</c:v>
                </c:pt>
                <c:pt idx="5">
                  <c:v>1</c:v>
                </c:pt>
                <c:pt idx="6">
                  <c:v>319</c:v>
                </c:pt>
                <c:pt idx="7">
                  <c:v>0</c:v>
                </c:pt>
                <c:pt idx="8">
                  <c:v>176</c:v>
                </c:pt>
                <c:pt idx="9">
                  <c:v>1</c:v>
                </c:pt>
                <c:pt idx="10">
                  <c:v>0</c:v>
                </c:pt>
                <c:pt idx="11">
                  <c:v>0</c:v>
                </c:pt>
                <c:pt idx="12">
                  <c:v>0</c:v>
                </c:pt>
              </c:numCache>
            </c:numRef>
          </c:val>
          <c:extLst>
            <c:ext xmlns:c16="http://schemas.microsoft.com/office/drawing/2014/chart" uri="{C3380CC4-5D6E-409C-BE32-E72D297353CC}">
              <c16:uniqueId val="{00000000-A0BA-424D-84DA-DC0DF9044720}"/>
            </c:ext>
          </c:extLst>
        </c:ser>
        <c:ser>
          <c:idx val="1"/>
          <c:order val="1"/>
          <c:tx>
            <c:strRef>
              <c:f>'January 8, 2021'!$C$2:$C$3</c:f>
              <c:strCache>
                <c:ptCount val="2"/>
                <c:pt idx="0">
                  <c:v>Total ICU</c:v>
                </c:pt>
                <c:pt idx="1">
                  <c:v>843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0BA-424D-84DA-DC0DF904472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8,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8, 2021'!$C$4:$C$16</c:f>
              <c:numCache>
                <c:formatCode>General</c:formatCode>
                <c:ptCount val="13"/>
                <c:pt idx="0">
                  <c:v>74</c:v>
                </c:pt>
                <c:pt idx="1">
                  <c:v>139</c:v>
                </c:pt>
                <c:pt idx="2">
                  <c:v>363</c:v>
                </c:pt>
                <c:pt idx="3">
                  <c:v>202</c:v>
                </c:pt>
                <c:pt idx="4">
                  <c:v>0</c:v>
                </c:pt>
                <c:pt idx="5">
                  <c:v>1</c:v>
                </c:pt>
                <c:pt idx="6">
                  <c:v>35</c:v>
                </c:pt>
                <c:pt idx="7">
                  <c:v>0</c:v>
                </c:pt>
                <c:pt idx="8">
                  <c:v>29</c:v>
                </c:pt>
                <c:pt idx="9">
                  <c:v>0</c:v>
                </c:pt>
                <c:pt idx="10">
                  <c:v>0</c:v>
                </c:pt>
                <c:pt idx="11">
                  <c:v>0</c:v>
                </c:pt>
                <c:pt idx="12">
                  <c:v>0</c:v>
                </c:pt>
              </c:numCache>
            </c:numRef>
          </c:val>
          <c:extLst>
            <c:ext xmlns:c16="http://schemas.microsoft.com/office/drawing/2014/chart" uri="{C3380CC4-5D6E-409C-BE32-E72D297353CC}">
              <c16:uniqueId val="{00000002-A0BA-424D-84DA-DC0DF9044720}"/>
            </c:ext>
          </c:extLst>
        </c:ser>
        <c:dLbls>
          <c:dLblPos val="outEnd"/>
          <c:showLegendKey val="0"/>
          <c:showVal val="1"/>
          <c:showCatName val="0"/>
          <c:showSerName val="0"/>
          <c:showPercent val="0"/>
          <c:showBubbleSize val="0"/>
        </c:dLbls>
        <c:gapWidth val="100"/>
        <c:overlap val="-24"/>
        <c:axId val="514331192"/>
        <c:axId val="514322960"/>
      </c:barChart>
      <c:catAx>
        <c:axId val="51433119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22960"/>
        <c:crosses val="autoZero"/>
        <c:auto val="1"/>
        <c:lblAlgn val="ctr"/>
        <c:lblOffset val="100"/>
        <c:noMultiLvlLbl val="0"/>
      </c:catAx>
      <c:valAx>
        <c:axId val="51432296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31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2021-01-06</a:t>
            </a:r>
          </a:p>
        </c:rich>
      </c:tx>
      <c:layout>
        <c:manualLayout>
          <c:xMode val="edge"/>
          <c:yMode val="edge"/>
          <c:x val="0.10229875601020344"/>
          <c:y val="1.9209611803307765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'January 6, 2021'!$B$2:$B$3</c:f>
              <c:strCache>
                <c:ptCount val="2"/>
                <c:pt idx="0">
                  <c:v>Total Hospital</c:v>
                </c:pt>
                <c:pt idx="1">
                  <c:v>4645</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6,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6, 2021'!$B$4:$B$16</c:f>
              <c:numCache>
                <c:formatCode>General</c:formatCode>
                <c:ptCount val="13"/>
                <c:pt idx="0">
                  <c:v>367</c:v>
                </c:pt>
                <c:pt idx="1">
                  <c:v>919</c:v>
                </c:pt>
                <c:pt idx="2" formatCode="0">
                  <c:v>1463</c:v>
                </c:pt>
                <c:pt idx="3" formatCode="#,##0">
                  <c:v>1393</c:v>
                </c:pt>
                <c:pt idx="4">
                  <c:v>0</c:v>
                </c:pt>
                <c:pt idx="5">
                  <c:v>1</c:v>
                </c:pt>
                <c:pt idx="6">
                  <c:v>329</c:v>
                </c:pt>
                <c:pt idx="7">
                  <c:v>0</c:v>
                </c:pt>
                <c:pt idx="8">
                  <c:v>172</c:v>
                </c:pt>
                <c:pt idx="9">
                  <c:v>1</c:v>
                </c:pt>
                <c:pt idx="10">
                  <c:v>0</c:v>
                </c:pt>
                <c:pt idx="11">
                  <c:v>0</c:v>
                </c:pt>
                <c:pt idx="12">
                  <c:v>0</c:v>
                </c:pt>
              </c:numCache>
            </c:numRef>
          </c:val>
          <c:extLst>
            <c:ext xmlns:c16="http://schemas.microsoft.com/office/drawing/2014/chart" uri="{C3380CC4-5D6E-409C-BE32-E72D297353CC}">
              <c16:uniqueId val="{00000000-22C3-6648-B0D1-3A8CC1672D72}"/>
            </c:ext>
          </c:extLst>
        </c:ser>
        <c:ser>
          <c:idx val="1"/>
          <c:order val="1"/>
          <c:tx>
            <c:strRef>
              <c:f>'January 6, 2021'!$C$2:$C$3</c:f>
              <c:strCache>
                <c:ptCount val="2"/>
                <c:pt idx="0">
                  <c:v>Total ICU</c:v>
                </c:pt>
                <c:pt idx="1">
                  <c:v>847</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2C3-6648-B0D1-3A8CC1672D7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6,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6, 2021'!$C$4:$C$16</c:f>
              <c:numCache>
                <c:formatCode>General</c:formatCode>
                <c:ptCount val="13"/>
                <c:pt idx="0">
                  <c:v>77</c:v>
                </c:pt>
                <c:pt idx="1">
                  <c:v>140</c:v>
                </c:pt>
                <c:pt idx="2">
                  <c:v>361</c:v>
                </c:pt>
                <c:pt idx="3">
                  <c:v>202</c:v>
                </c:pt>
                <c:pt idx="4">
                  <c:v>0</c:v>
                </c:pt>
                <c:pt idx="5">
                  <c:v>1</c:v>
                </c:pt>
                <c:pt idx="6">
                  <c:v>37</c:v>
                </c:pt>
                <c:pt idx="7">
                  <c:v>0</c:v>
                </c:pt>
                <c:pt idx="8">
                  <c:v>29</c:v>
                </c:pt>
                <c:pt idx="9">
                  <c:v>0</c:v>
                </c:pt>
                <c:pt idx="10">
                  <c:v>0</c:v>
                </c:pt>
                <c:pt idx="11">
                  <c:v>0</c:v>
                </c:pt>
                <c:pt idx="12">
                  <c:v>0</c:v>
                </c:pt>
              </c:numCache>
            </c:numRef>
          </c:val>
          <c:extLst>
            <c:ext xmlns:c16="http://schemas.microsoft.com/office/drawing/2014/chart" uri="{C3380CC4-5D6E-409C-BE32-E72D297353CC}">
              <c16:uniqueId val="{00000002-22C3-6648-B0D1-3A8CC1672D72}"/>
            </c:ext>
          </c:extLst>
        </c:ser>
        <c:dLbls>
          <c:dLblPos val="outEnd"/>
          <c:showLegendKey val="0"/>
          <c:showVal val="1"/>
          <c:showCatName val="0"/>
          <c:showSerName val="0"/>
          <c:showPercent val="0"/>
          <c:showBubbleSize val="0"/>
        </c:dLbls>
        <c:gapWidth val="100"/>
        <c:overlap val="-24"/>
        <c:axId val="514325312"/>
        <c:axId val="514324528"/>
      </c:barChart>
      <c:catAx>
        <c:axId val="51432531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24528"/>
        <c:crosses val="autoZero"/>
        <c:auto val="1"/>
        <c:lblAlgn val="ctr"/>
        <c:lblOffset val="100"/>
        <c:noMultiLvlLbl val="0"/>
      </c:catAx>
      <c:valAx>
        <c:axId val="51432452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25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2021-01-04</a:t>
            </a:r>
          </a:p>
        </c:rich>
      </c:tx>
      <c:layout>
        <c:manualLayout>
          <c:xMode val="edge"/>
          <c:yMode val="edge"/>
          <c:x val="0.10229875601020344"/>
          <c:y val="1.9209611803307765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'January 4, 2021'!$B$2:$B$3</c:f>
              <c:strCache>
                <c:ptCount val="2"/>
                <c:pt idx="0">
                  <c:v>Total Hospital</c:v>
                </c:pt>
                <c:pt idx="1">
                  <c:v>4273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4,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4, 2021'!$B$4:$B$16</c:f>
              <c:numCache>
                <c:formatCode>General</c:formatCode>
                <c:ptCount val="13"/>
                <c:pt idx="0">
                  <c:v>374</c:v>
                </c:pt>
                <c:pt idx="1">
                  <c:v>921</c:v>
                </c:pt>
                <c:pt idx="2" formatCode="0">
                  <c:v>1190</c:v>
                </c:pt>
                <c:pt idx="3" formatCode="#,##0">
                  <c:v>1294</c:v>
                </c:pt>
                <c:pt idx="4">
                  <c:v>1</c:v>
                </c:pt>
                <c:pt idx="5">
                  <c:v>1</c:v>
                </c:pt>
                <c:pt idx="6">
                  <c:v>339</c:v>
                </c:pt>
                <c:pt idx="7">
                  <c:v>0</c:v>
                </c:pt>
                <c:pt idx="8">
                  <c:v>152</c:v>
                </c:pt>
                <c:pt idx="9">
                  <c:v>1</c:v>
                </c:pt>
                <c:pt idx="10">
                  <c:v>0</c:v>
                </c:pt>
                <c:pt idx="11">
                  <c:v>0</c:v>
                </c:pt>
                <c:pt idx="12">
                  <c:v>0</c:v>
                </c:pt>
              </c:numCache>
            </c:numRef>
          </c:val>
          <c:extLst>
            <c:ext xmlns:c16="http://schemas.microsoft.com/office/drawing/2014/chart" uri="{C3380CC4-5D6E-409C-BE32-E72D297353CC}">
              <c16:uniqueId val="{00000000-C823-B749-B49E-569DB7DE27C1}"/>
            </c:ext>
          </c:extLst>
        </c:ser>
        <c:ser>
          <c:idx val="1"/>
          <c:order val="1"/>
          <c:tx>
            <c:strRef>
              <c:f>'January 4, 2021'!$C$2:$C$3</c:f>
              <c:strCache>
                <c:ptCount val="2"/>
                <c:pt idx="0">
                  <c:v>Total ICU</c:v>
                </c:pt>
                <c:pt idx="1">
                  <c:v>829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823-B749-B49E-569DB7DE27C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4,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4, 2021'!$C$4:$C$16</c:f>
              <c:numCache>
                <c:formatCode>General</c:formatCode>
                <c:ptCount val="13"/>
                <c:pt idx="0">
                  <c:v>76</c:v>
                </c:pt>
                <c:pt idx="1">
                  <c:v>152</c:v>
                </c:pt>
                <c:pt idx="2">
                  <c:v>333</c:v>
                </c:pt>
                <c:pt idx="3">
                  <c:v>188</c:v>
                </c:pt>
                <c:pt idx="4">
                  <c:v>0</c:v>
                </c:pt>
                <c:pt idx="5">
                  <c:v>1</c:v>
                </c:pt>
                <c:pt idx="6">
                  <c:v>41</c:v>
                </c:pt>
                <c:pt idx="7">
                  <c:v>0</c:v>
                </c:pt>
                <c:pt idx="8">
                  <c:v>38</c:v>
                </c:pt>
                <c:pt idx="9">
                  <c:v>0</c:v>
                </c:pt>
                <c:pt idx="10">
                  <c:v>0</c:v>
                </c:pt>
                <c:pt idx="11">
                  <c:v>0</c:v>
                </c:pt>
                <c:pt idx="12">
                  <c:v>0</c:v>
                </c:pt>
              </c:numCache>
            </c:numRef>
          </c:val>
          <c:extLst>
            <c:ext xmlns:c16="http://schemas.microsoft.com/office/drawing/2014/chart" uri="{C3380CC4-5D6E-409C-BE32-E72D297353CC}">
              <c16:uniqueId val="{00000002-C823-B749-B49E-569DB7DE27C1}"/>
            </c:ext>
          </c:extLst>
        </c:ser>
        <c:dLbls>
          <c:dLblPos val="outEnd"/>
          <c:showLegendKey val="0"/>
          <c:showVal val="1"/>
          <c:showCatName val="0"/>
          <c:showSerName val="0"/>
          <c:showPercent val="0"/>
          <c:showBubbleSize val="0"/>
        </c:dLbls>
        <c:gapWidth val="100"/>
        <c:overlap val="-24"/>
        <c:axId val="514331584"/>
        <c:axId val="514329624"/>
      </c:barChart>
      <c:catAx>
        <c:axId val="51433158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29624"/>
        <c:crosses val="autoZero"/>
        <c:auto val="1"/>
        <c:lblAlgn val="ctr"/>
        <c:lblOffset val="100"/>
        <c:noMultiLvlLbl val="0"/>
      </c:catAx>
      <c:valAx>
        <c:axId val="51432962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315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2022-04-13</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'April 13, 2022'!$B$2:$B$3</c:f>
              <c:strCache>
                <c:ptCount val="2"/>
                <c:pt idx="0">
                  <c:v>Total Hospital</c:v>
                </c:pt>
                <c:pt idx="1">
                  <c:v>5907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13,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13, 2022'!$B$4:$B$16</c:f>
              <c:numCache>
                <c:formatCode>General</c:formatCode>
                <c:ptCount val="13"/>
                <c:pt idx="0">
                  <c:v>324</c:v>
                </c:pt>
                <c:pt idx="1">
                  <c:v>1053</c:v>
                </c:pt>
                <c:pt idx="2" formatCode="0">
                  <c:v>1332</c:v>
                </c:pt>
                <c:pt idx="3" formatCode="#,##0">
                  <c:v>2060</c:v>
                </c:pt>
                <c:pt idx="4">
                  <c:v>57</c:v>
                </c:pt>
                <c:pt idx="5">
                  <c:v>192</c:v>
                </c:pt>
                <c:pt idx="6">
                  <c:v>426</c:v>
                </c:pt>
                <c:pt idx="7">
                  <c:v>36</c:v>
                </c:pt>
                <c:pt idx="8">
                  <c:v>354</c:v>
                </c:pt>
                <c:pt idx="9">
                  <c:v>32</c:v>
                </c:pt>
                <c:pt idx="10">
                  <c:v>8</c:v>
                </c:pt>
                <c:pt idx="11">
                  <c:v>0</c:v>
                </c:pt>
                <c:pt idx="12">
                  <c:v>33</c:v>
                </c:pt>
              </c:numCache>
            </c:numRef>
          </c:val>
          <c:extLst>
            <c:ext xmlns:c16="http://schemas.microsoft.com/office/drawing/2014/chart" uri="{C3380CC4-5D6E-409C-BE32-E72D297353CC}">
              <c16:uniqueId val="{00000000-EDA9-447A-B34A-7F5482B615D8}"/>
            </c:ext>
          </c:extLst>
        </c:ser>
        <c:ser>
          <c:idx val="1"/>
          <c:order val="1"/>
          <c:tx>
            <c:strRef>
              <c:f>'April 13, 2022'!$C$2:$C$3</c:f>
              <c:strCache>
                <c:ptCount val="2"/>
                <c:pt idx="0">
                  <c:v>Total ICU</c:v>
                </c:pt>
                <c:pt idx="1">
                  <c:v>426</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13,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13, 2022'!$C$4:$C$16</c:f>
              <c:numCache>
                <c:formatCode>General</c:formatCode>
                <c:ptCount val="13"/>
                <c:pt idx="0">
                  <c:v>38</c:v>
                </c:pt>
                <c:pt idx="1">
                  <c:v>48</c:v>
                </c:pt>
                <c:pt idx="2">
                  <c:v>182</c:v>
                </c:pt>
                <c:pt idx="3">
                  <c:v>83</c:v>
                </c:pt>
                <c:pt idx="4">
                  <c:v>9</c:v>
                </c:pt>
                <c:pt idx="5">
                  <c:v>13</c:v>
                </c:pt>
                <c:pt idx="6">
                  <c:v>24</c:v>
                </c:pt>
                <c:pt idx="7">
                  <c:v>3</c:v>
                </c:pt>
                <c:pt idx="8">
                  <c:v>20</c:v>
                </c:pt>
                <c:pt idx="9">
                  <c:v>6</c:v>
                </c:pt>
                <c:pt idx="10">
                  <c:v>0</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39680"/>
        <c:axId val="451741248"/>
      </c:barChart>
      <c:catAx>
        <c:axId val="45173968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41248"/>
        <c:crosses val="autoZero"/>
        <c:auto val="1"/>
        <c:lblAlgn val="ctr"/>
        <c:lblOffset val="100"/>
        <c:noMultiLvlLbl val="0"/>
      </c:catAx>
      <c:valAx>
        <c:axId val="45174124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39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2020-12-23</a:t>
            </a:r>
          </a:p>
        </c:rich>
      </c:tx>
      <c:layout>
        <c:manualLayout>
          <c:xMode val="edge"/>
          <c:yMode val="edge"/>
          <c:x val="0.10229875601020344"/>
          <c:y val="1.9209611803307765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'December 23, 2020'!$B$2:$B$3</c:f>
              <c:strCache>
                <c:ptCount val="2"/>
                <c:pt idx="0">
                  <c:v>Total Hospital</c:v>
                </c:pt>
                <c:pt idx="1">
                  <c:v>3630</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'December 23,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'December 23, 2020'!$B$4:$B$16</c:f>
              <c:numCache>
                <c:formatCode>General</c:formatCode>
                <c:ptCount val="13"/>
                <c:pt idx="0">
                  <c:v>357</c:v>
                </c:pt>
                <c:pt idx="1">
                  <c:v>802</c:v>
                </c:pt>
                <c:pt idx="2" formatCode="0">
                  <c:v>1002</c:v>
                </c:pt>
                <c:pt idx="3" formatCode="#,##0">
                  <c:v>1067</c:v>
                </c:pt>
                <c:pt idx="4">
                  <c:v>0</c:v>
                </c:pt>
                <c:pt idx="5">
                  <c:v>2</c:v>
                </c:pt>
                <c:pt idx="6">
                  <c:v>275</c:v>
                </c:pt>
                <c:pt idx="7">
                  <c:v>0</c:v>
                </c:pt>
                <c:pt idx="8">
                  <c:v>124</c:v>
                </c:pt>
                <c:pt idx="9">
                  <c:v>1</c:v>
                </c:pt>
                <c:pt idx="10">
                  <c:v>0</c:v>
                </c:pt>
                <c:pt idx="11">
                  <c:v>0</c:v>
                </c:pt>
                <c:pt idx="12">
                  <c:v>0</c:v>
                </c:pt>
              </c:numCache>
            </c:numRef>
          </c:val>
          <c:extLst>
            <c:ext xmlns:c16="http://schemas.microsoft.com/office/drawing/2014/chart" uri="{C3380CC4-5D6E-409C-BE32-E72D297353CC}">
              <c16:uniqueId val="{00000000-EC1D-F749-8E68-5EDC3D75A119}"/>
            </c:ext>
          </c:extLst>
        </c:ser>
        <c:ser>
          <c:idx val="1"/>
          <c:order val="1"/>
          <c:tx>
            <c:strRef>
              <c:f>'December 23, 2020'!$C$2:$C$3</c:f>
              <c:strCache>
                <c:ptCount val="2"/>
                <c:pt idx="0">
                  <c:v>Total ICU</c:v>
                </c:pt>
                <c:pt idx="1">
                  <c:v>711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1D-F749-8E68-5EDC3D75A11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'December 23,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'December 23, 2020'!$C$4:$C$16</c:f>
              <c:numCache>
                <c:formatCode>General</c:formatCode>
                <c:ptCount val="13"/>
                <c:pt idx="0">
                  <c:v>84</c:v>
                </c:pt>
                <c:pt idx="1">
                  <c:v>152</c:v>
                </c:pt>
                <c:pt idx="2">
                  <c:v>275</c:v>
                </c:pt>
                <c:pt idx="3">
                  <c:v>142</c:v>
                </c:pt>
                <c:pt idx="4">
                  <c:v>0</c:v>
                </c:pt>
                <c:pt idx="5">
                  <c:v>1</c:v>
                </c:pt>
                <c:pt idx="6">
                  <c:v>36</c:v>
                </c:pt>
                <c:pt idx="7">
                  <c:v>0</c:v>
                </c:pt>
                <c:pt idx="8">
                  <c:v>21</c:v>
                </c:pt>
                <c:pt idx="9">
                  <c:v>0</c:v>
                </c:pt>
                <c:pt idx="10">
                  <c:v>0</c:v>
                </c:pt>
                <c:pt idx="11">
                  <c:v>0</c:v>
                </c:pt>
                <c:pt idx="12">
                  <c:v>0</c:v>
                </c:pt>
              </c:numCache>
            </c:numRef>
          </c:val>
          <c:extLst>
            <c:ext xmlns:c16="http://schemas.microsoft.com/office/drawing/2014/chart" uri="{C3380CC4-5D6E-409C-BE32-E72D297353CC}">
              <c16:uniqueId val="{00000002-EC1D-F749-8E68-5EDC3D75A119}"/>
            </c:ext>
          </c:extLst>
        </c:ser>
        <c:dLbls>
          <c:dLblPos val="outEnd"/>
          <c:showLegendKey val="0"/>
          <c:showVal val="1"/>
          <c:showCatName val="0"/>
          <c:showSerName val="0"/>
          <c:showPercent val="0"/>
          <c:showBubbleSize val="0"/>
        </c:dLbls>
        <c:gapWidth val="100"/>
        <c:overlap val="-24"/>
        <c:axId val="514328840"/>
        <c:axId val="514326488"/>
      </c:barChart>
      <c:catAx>
        <c:axId val="51432884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26488"/>
        <c:crosses val="autoZero"/>
        <c:auto val="1"/>
        <c:lblAlgn val="ctr"/>
        <c:lblOffset val="100"/>
        <c:noMultiLvlLbl val="0"/>
      </c:catAx>
      <c:valAx>
        <c:axId val="51432648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28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2020-12-21</a:t>
            </a:r>
          </a:p>
        </c:rich>
      </c:tx>
      <c:layout>
        <c:manualLayout>
          <c:xMode val="edge"/>
          <c:yMode val="edge"/>
          <c:x val="0.10811960983779295"/>
          <c:y val="1.9209611803307765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'December 21, 2020'!$B$2:$B$3</c:f>
              <c:strCache>
                <c:ptCount val="2"/>
                <c:pt idx="0">
                  <c:v>Total Hospital</c:v>
                </c:pt>
                <c:pt idx="1">
                  <c:v>3508</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'December 21,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'December 21, 2020'!$B$4:$B$16</c:f>
              <c:numCache>
                <c:formatCode>General</c:formatCode>
                <c:ptCount val="13"/>
                <c:pt idx="0">
                  <c:v>356</c:v>
                </c:pt>
                <c:pt idx="1">
                  <c:v>760</c:v>
                </c:pt>
                <c:pt idx="2" formatCode="0">
                  <c:v>915</c:v>
                </c:pt>
                <c:pt idx="3" formatCode="#,##0">
                  <c:v>1048</c:v>
                </c:pt>
                <c:pt idx="4">
                  <c:v>0</c:v>
                </c:pt>
                <c:pt idx="5">
                  <c:v>3</c:v>
                </c:pt>
                <c:pt idx="6">
                  <c:v>302</c:v>
                </c:pt>
                <c:pt idx="7">
                  <c:v>0</c:v>
                </c:pt>
                <c:pt idx="8">
                  <c:v>123</c:v>
                </c:pt>
                <c:pt idx="9">
                  <c:v>1</c:v>
                </c:pt>
                <c:pt idx="10">
                  <c:v>0</c:v>
                </c:pt>
                <c:pt idx="11">
                  <c:v>0</c:v>
                </c:pt>
                <c:pt idx="12">
                  <c:v>0</c:v>
                </c:pt>
              </c:numCache>
            </c:numRef>
          </c:val>
          <c:extLst>
            <c:ext xmlns:c16="http://schemas.microsoft.com/office/drawing/2014/chart" uri="{C3380CC4-5D6E-409C-BE32-E72D297353CC}">
              <c16:uniqueId val="{00000000-56CD-B548-B8DE-66C60E07297E}"/>
            </c:ext>
          </c:extLst>
        </c:ser>
        <c:ser>
          <c:idx val="1"/>
          <c:order val="1"/>
          <c:tx>
            <c:strRef>
              <c:f>'December 21, 2020'!$C$2:$C$3</c:f>
              <c:strCache>
                <c:ptCount val="2"/>
                <c:pt idx="0">
                  <c:v>Total ICU</c:v>
                </c:pt>
                <c:pt idx="1">
                  <c:v>715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6CD-B548-B8DE-66C60E07297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'December 21,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'December 21, 2020'!$C$4:$C$16</c:f>
              <c:numCache>
                <c:formatCode>General</c:formatCode>
                <c:ptCount val="13"/>
                <c:pt idx="0">
                  <c:v>92</c:v>
                </c:pt>
                <c:pt idx="1">
                  <c:v>149</c:v>
                </c:pt>
                <c:pt idx="2">
                  <c:v>265</c:v>
                </c:pt>
                <c:pt idx="3">
                  <c:v>146</c:v>
                </c:pt>
                <c:pt idx="4">
                  <c:v>0</c:v>
                </c:pt>
                <c:pt idx="5">
                  <c:v>1</c:v>
                </c:pt>
                <c:pt idx="6">
                  <c:v>43</c:v>
                </c:pt>
                <c:pt idx="7">
                  <c:v>0</c:v>
                </c:pt>
                <c:pt idx="8">
                  <c:v>19</c:v>
                </c:pt>
                <c:pt idx="9">
                  <c:v>0</c:v>
                </c:pt>
                <c:pt idx="10">
                  <c:v>0</c:v>
                </c:pt>
                <c:pt idx="11">
                  <c:v>0</c:v>
                </c:pt>
                <c:pt idx="12">
                  <c:v>0</c:v>
                </c:pt>
              </c:numCache>
            </c:numRef>
          </c:val>
          <c:extLst>
            <c:ext xmlns:c16="http://schemas.microsoft.com/office/drawing/2014/chart" uri="{C3380CC4-5D6E-409C-BE32-E72D297353CC}">
              <c16:uniqueId val="{00000002-56CD-B548-B8DE-66C60E07297E}"/>
            </c:ext>
          </c:extLst>
        </c:ser>
        <c:dLbls>
          <c:dLblPos val="outEnd"/>
          <c:showLegendKey val="0"/>
          <c:showVal val="1"/>
          <c:showCatName val="0"/>
          <c:showSerName val="0"/>
          <c:showPercent val="0"/>
          <c:showBubbleSize val="0"/>
        </c:dLbls>
        <c:gapWidth val="100"/>
        <c:overlap val="-24"/>
        <c:axId val="514330016"/>
        <c:axId val="514331976"/>
      </c:barChart>
      <c:catAx>
        <c:axId val="51433001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31976"/>
        <c:crosses val="autoZero"/>
        <c:auto val="1"/>
        <c:lblAlgn val="ctr"/>
        <c:lblOffset val="100"/>
        <c:noMultiLvlLbl val="0"/>
      </c:catAx>
      <c:valAx>
        <c:axId val="51433197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30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2020-12-18</a:t>
            </a:r>
          </a:p>
        </c:rich>
      </c:tx>
      <c:layout>
        <c:manualLayout>
          <c:xMode val="edge"/>
          <c:yMode val="edge"/>
          <c:x val="0.10811960983779295"/>
          <c:y val="1.9209611803307765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'December 18, 2020'!$B$2:$B$3</c:f>
              <c:strCache>
                <c:ptCount val="2"/>
                <c:pt idx="0">
                  <c:v>Total Hospital</c:v>
                </c:pt>
                <c:pt idx="1">
                  <c:v>3486</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'December 18,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'December 18, 2020'!$B$4:$B$16</c:f>
              <c:numCache>
                <c:formatCode>General</c:formatCode>
                <c:ptCount val="13"/>
                <c:pt idx="0">
                  <c:v>358</c:v>
                </c:pt>
                <c:pt idx="1">
                  <c:v>763</c:v>
                </c:pt>
                <c:pt idx="2" formatCode="0">
                  <c:v>919</c:v>
                </c:pt>
                <c:pt idx="3" formatCode="#,##0">
                  <c:v>1002</c:v>
                </c:pt>
                <c:pt idx="4">
                  <c:v>0</c:v>
                </c:pt>
                <c:pt idx="5">
                  <c:v>3</c:v>
                </c:pt>
                <c:pt idx="6">
                  <c:v>314</c:v>
                </c:pt>
                <c:pt idx="7">
                  <c:v>0</c:v>
                </c:pt>
                <c:pt idx="8">
                  <c:v>126</c:v>
                </c:pt>
                <c:pt idx="9">
                  <c:v>1</c:v>
                </c:pt>
                <c:pt idx="10">
                  <c:v>0</c:v>
                </c:pt>
                <c:pt idx="11">
                  <c:v>0</c:v>
                </c:pt>
                <c:pt idx="12">
                  <c:v>0</c:v>
                </c:pt>
              </c:numCache>
            </c:numRef>
          </c:val>
          <c:extLst>
            <c:ext xmlns:c16="http://schemas.microsoft.com/office/drawing/2014/chart" uri="{C3380CC4-5D6E-409C-BE32-E72D297353CC}">
              <c16:uniqueId val="{00000000-0870-CF4D-BE85-A4418491C477}"/>
            </c:ext>
          </c:extLst>
        </c:ser>
        <c:ser>
          <c:idx val="1"/>
          <c:order val="1"/>
          <c:tx>
            <c:strRef>
              <c:f>'December 18, 2020'!$C$2:$C$3</c:f>
              <c:strCache>
                <c:ptCount val="2"/>
                <c:pt idx="0">
                  <c:v>Total ICU</c:v>
                </c:pt>
                <c:pt idx="1">
                  <c:v>694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70-CF4D-BE85-A4418491C47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'December 18,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'December 18, 2020'!$C$4:$C$16</c:f>
              <c:numCache>
                <c:formatCode>General</c:formatCode>
                <c:ptCount val="13"/>
                <c:pt idx="0">
                  <c:v>93</c:v>
                </c:pt>
                <c:pt idx="1">
                  <c:v>138</c:v>
                </c:pt>
                <c:pt idx="2">
                  <c:v>263</c:v>
                </c:pt>
                <c:pt idx="3">
                  <c:v>134</c:v>
                </c:pt>
                <c:pt idx="4">
                  <c:v>0</c:v>
                </c:pt>
                <c:pt idx="5">
                  <c:v>2</c:v>
                </c:pt>
                <c:pt idx="6">
                  <c:v>42</c:v>
                </c:pt>
                <c:pt idx="7">
                  <c:v>0</c:v>
                </c:pt>
                <c:pt idx="8">
                  <c:v>22</c:v>
                </c:pt>
                <c:pt idx="9">
                  <c:v>0</c:v>
                </c:pt>
                <c:pt idx="10">
                  <c:v>0</c:v>
                </c:pt>
                <c:pt idx="11">
                  <c:v>0</c:v>
                </c:pt>
                <c:pt idx="12">
                  <c:v>0</c:v>
                </c:pt>
              </c:numCache>
            </c:numRef>
          </c:val>
          <c:extLst>
            <c:ext xmlns:c16="http://schemas.microsoft.com/office/drawing/2014/chart" uri="{C3380CC4-5D6E-409C-BE32-E72D297353CC}">
              <c16:uniqueId val="{00000002-0870-CF4D-BE85-A4418491C477}"/>
            </c:ext>
          </c:extLst>
        </c:ser>
        <c:dLbls>
          <c:dLblPos val="outEnd"/>
          <c:showLegendKey val="0"/>
          <c:showVal val="1"/>
          <c:showCatName val="0"/>
          <c:showSerName val="0"/>
          <c:showPercent val="0"/>
          <c:showBubbleSize val="0"/>
        </c:dLbls>
        <c:gapWidth val="100"/>
        <c:overlap val="-24"/>
        <c:axId val="514334720"/>
        <c:axId val="514337072"/>
      </c:barChart>
      <c:catAx>
        <c:axId val="51433472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37072"/>
        <c:crosses val="autoZero"/>
        <c:auto val="1"/>
        <c:lblAlgn val="ctr"/>
        <c:lblOffset val="100"/>
        <c:noMultiLvlLbl val="0"/>
      </c:catAx>
      <c:valAx>
        <c:axId val="51433707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347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2020-12-16</a:t>
            </a:r>
          </a:p>
        </c:rich>
      </c:tx>
      <c:layout>
        <c:manualLayout>
          <c:xMode val="edge"/>
          <c:yMode val="edge"/>
          <c:x val="0.10811960983779295"/>
          <c:y val="1.9209611803307765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'December 16, 2020'!$B$2:$B$3</c:f>
              <c:strCache>
                <c:ptCount val="2"/>
                <c:pt idx="0">
                  <c:v>Total Hospital</c:v>
                </c:pt>
                <c:pt idx="1">
                  <c:v>3421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'December 16,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'December 16, 2020'!$B$4:$B$16</c:f>
              <c:numCache>
                <c:formatCode>General</c:formatCode>
                <c:ptCount val="13"/>
                <c:pt idx="0">
                  <c:v>361</c:v>
                </c:pt>
                <c:pt idx="1">
                  <c:v>742</c:v>
                </c:pt>
                <c:pt idx="2" formatCode="0">
                  <c:v>921</c:v>
                </c:pt>
                <c:pt idx="3">
                  <c:v>959</c:v>
                </c:pt>
                <c:pt idx="4">
                  <c:v>0</c:v>
                </c:pt>
                <c:pt idx="5">
                  <c:v>3</c:v>
                </c:pt>
                <c:pt idx="6">
                  <c:v>311</c:v>
                </c:pt>
                <c:pt idx="7">
                  <c:v>0</c:v>
                </c:pt>
                <c:pt idx="8">
                  <c:v>124</c:v>
                </c:pt>
                <c:pt idx="9">
                  <c:v>0</c:v>
                </c:pt>
                <c:pt idx="10">
                  <c:v>0</c:v>
                </c:pt>
                <c:pt idx="11">
                  <c:v>0</c:v>
                </c:pt>
                <c:pt idx="12">
                  <c:v>0</c:v>
                </c:pt>
              </c:numCache>
            </c:numRef>
          </c:val>
          <c:extLst>
            <c:ext xmlns:c16="http://schemas.microsoft.com/office/drawing/2014/chart" uri="{C3380CC4-5D6E-409C-BE32-E72D297353CC}">
              <c16:uniqueId val="{00000000-5417-294E-B2A0-71D428B38E9C}"/>
            </c:ext>
          </c:extLst>
        </c:ser>
        <c:ser>
          <c:idx val="1"/>
          <c:order val="1"/>
          <c:tx>
            <c:strRef>
              <c:f>'December 16, 2020'!$C$2:$C$3</c:f>
              <c:strCache>
                <c:ptCount val="2"/>
                <c:pt idx="0">
                  <c:v>Total ICU</c:v>
                </c:pt>
                <c:pt idx="1">
                  <c:v>676</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17-294E-B2A0-71D428B38E9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'December 16,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'December 16, 2020'!$C$4:$C$16</c:f>
              <c:numCache>
                <c:formatCode>General</c:formatCode>
                <c:ptCount val="13"/>
                <c:pt idx="0">
                  <c:v>93</c:v>
                </c:pt>
                <c:pt idx="1">
                  <c:v>137</c:v>
                </c:pt>
                <c:pt idx="2">
                  <c:v>249</c:v>
                </c:pt>
                <c:pt idx="3">
                  <c:v>125</c:v>
                </c:pt>
                <c:pt idx="4">
                  <c:v>0</c:v>
                </c:pt>
                <c:pt idx="5">
                  <c:v>2</c:v>
                </c:pt>
                <c:pt idx="6">
                  <c:v>44</c:v>
                </c:pt>
                <c:pt idx="7">
                  <c:v>0</c:v>
                </c:pt>
                <c:pt idx="8">
                  <c:v>26</c:v>
                </c:pt>
                <c:pt idx="9">
                  <c:v>0</c:v>
                </c:pt>
                <c:pt idx="10">
                  <c:v>0</c:v>
                </c:pt>
                <c:pt idx="11">
                  <c:v>0</c:v>
                </c:pt>
                <c:pt idx="12">
                  <c:v>0</c:v>
                </c:pt>
              </c:numCache>
            </c:numRef>
          </c:val>
          <c:extLst>
            <c:ext xmlns:c16="http://schemas.microsoft.com/office/drawing/2014/chart" uri="{C3380CC4-5D6E-409C-BE32-E72D297353CC}">
              <c16:uniqueId val="{00000002-5417-294E-B2A0-71D428B38E9C}"/>
            </c:ext>
          </c:extLst>
        </c:ser>
        <c:dLbls>
          <c:dLblPos val="outEnd"/>
          <c:showLegendKey val="0"/>
          <c:showVal val="1"/>
          <c:showCatName val="0"/>
          <c:showSerName val="0"/>
          <c:showPercent val="0"/>
          <c:showBubbleSize val="0"/>
        </c:dLbls>
        <c:gapWidth val="100"/>
        <c:overlap val="-24"/>
        <c:axId val="514335504"/>
        <c:axId val="514339032"/>
      </c:barChart>
      <c:catAx>
        <c:axId val="51433550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39032"/>
        <c:crosses val="autoZero"/>
        <c:auto val="1"/>
        <c:lblAlgn val="ctr"/>
        <c:lblOffset val="100"/>
        <c:noMultiLvlLbl val="0"/>
      </c:catAx>
      <c:valAx>
        <c:axId val="51433903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35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2020-12-14</a:t>
            </a:r>
          </a:p>
        </c:rich>
      </c:tx>
      <c:layout>
        <c:manualLayout>
          <c:xMode val="edge"/>
          <c:yMode val="edge"/>
          <c:x val="0.10811960983779295"/>
          <c:y val="1.9209611803307765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'December 14, 2020'!$B$2:$B$3</c:f>
              <c:strCache>
                <c:ptCount val="2"/>
                <c:pt idx="0">
                  <c:v>Total Hospital</c:v>
                </c:pt>
                <c:pt idx="1">
                  <c:v>3194</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'December 14,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'December 14, 2020'!$B$4:$B$16</c:f>
              <c:numCache>
                <c:formatCode>General</c:formatCode>
                <c:ptCount val="13"/>
                <c:pt idx="0">
                  <c:v>342</c:v>
                </c:pt>
                <c:pt idx="1">
                  <c:v>681</c:v>
                </c:pt>
                <c:pt idx="2" formatCode="0">
                  <c:v>857</c:v>
                </c:pt>
                <c:pt idx="3">
                  <c:v>890</c:v>
                </c:pt>
                <c:pt idx="4">
                  <c:v>0</c:v>
                </c:pt>
                <c:pt idx="5">
                  <c:v>3</c:v>
                </c:pt>
                <c:pt idx="6">
                  <c:v>304</c:v>
                </c:pt>
                <c:pt idx="7">
                  <c:v>0</c:v>
                </c:pt>
                <c:pt idx="8">
                  <c:v>117</c:v>
                </c:pt>
                <c:pt idx="9">
                  <c:v>0</c:v>
                </c:pt>
                <c:pt idx="10">
                  <c:v>0</c:v>
                </c:pt>
                <c:pt idx="11">
                  <c:v>0</c:v>
                </c:pt>
                <c:pt idx="12">
                  <c:v>0</c:v>
                </c:pt>
              </c:numCache>
            </c:numRef>
          </c:val>
          <c:extLst>
            <c:ext xmlns:c16="http://schemas.microsoft.com/office/drawing/2014/chart" uri="{C3380CC4-5D6E-409C-BE32-E72D297353CC}">
              <c16:uniqueId val="{00000000-50EB-B14B-8366-FB455FACEB01}"/>
            </c:ext>
          </c:extLst>
        </c:ser>
        <c:ser>
          <c:idx val="1"/>
          <c:order val="1"/>
          <c:tx>
            <c:strRef>
              <c:f>'December 14, 2020'!$C$2:$C$3</c:f>
              <c:strCache>
                <c:ptCount val="2"/>
                <c:pt idx="0">
                  <c:v>Total ICU</c:v>
                </c:pt>
                <c:pt idx="1">
                  <c:v>657</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0EB-B14B-8366-FB455FACEB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'December 14,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'December 14, 2020'!$C$4:$C$16</c:f>
              <c:numCache>
                <c:formatCode>General</c:formatCode>
                <c:ptCount val="13"/>
                <c:pt idx="0">
                  <c:v>87</c:v>
                </c:pt>
                <c:pt idx="1">
                  <c:v>136</c:v>
                </c:pt>
                <c:pt idx="2">
                  <c:v>244</c:v>
                </c:pt>
                <c:pt idx="3">
                  <c:v>122</c:v>
                </c:pt>
                <c:pt idx="4">
                  <c:v>0</c:v>
                </c:pt>
                <c:pt idx="5">
                  <c:v>2</c:v>
                </c:pt>
                <c:pt idx="6">
                  <c:v>43</c:v>
                </c:pt>
                <c:pt idx="7">
                  <c:v>0</c:v>
                </c:pt>
                <c:pt idx="8">
                  <c:v>23</c:v>
                </c:pt>
                <c:pt idx="9">
                  <c:v>0</c:v>
                </c:pt>
                <c:pt idx="10">
                  <c:v>0</c:v>
                </c:pt>
                <c:pt idx="11">
                  <c:v>0</c:v>
                </c:pt>
                <c:pt idx="12">
                  <c:v>0</c:v>
                </c:pt>
              </c:numCache>
            </c:numRef>
          </c:val>
          <c:extLst>
            <c:ext xmlns:c16="http://schemas.microsoft.com/office/drawing/2014/chart" uri="{C3380CC4-5D6E-409C-BE32-E72D297353CC}">
              <c16:uniqueId val="{00000002-50EB-B14B-8366-FB455FACEB01}"/>
            </c:ext>
          </c:extLst>
        </c:ser>
        <c:dLbls>
          <c:dLblPos val="outEnd"/>
          <c:showLegendKey val="0"/>
          <c:showVal val="1"/>
          <c:showCatName val="0"/>
          <c:showSerName val="0"/>
          <c:showPercent val="0"/>
          <c:showBubbleSize val="0"/>
        </c:dLbls>
        <c:gapWidth val="100"/>
        <c:overlap val="-24"/>
        <c:axId val="514335896"/>
        <c:axId val="514336680"/>
      </c:barChart>
      <c:catAx>
        <c:axId val="51433589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36680"/>
        <c:crosses val="autoZero"/>
        <c:auto val="1"/>
        <c:lblAlgn val="ctr"/>
        <c:lblOffset val="100"/>
        <c:noMultiLvlLbl val="0"/>
      </c:catAx>
      <c:valAx>
        <c:axId val="5143366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35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2020-12-11</a:t>
            </a:r>
          </a:p>
        </c:rich>
      </c:tx>
      <c:layout>
        <c:manualLayout>
          <c:xMode val="edge"/>
          <c:yMode val="edge"/>
          <c:x val="0.10811960983779295"/>
          <c:y val="1.9209611803307765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'December 11, 2020'!$B$2:$B$3</c:f>
              <c:strCache>
                <c:ptCount val="2"/>
                <c:pt idx="0">
                  <c:v>Total Hospital</c:v>
                </c:pt>
                <c:pt idx="1">
                  <c:v>3145</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'December 11,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'December 11, 2020'!$B$4:$B$16</c:f>
              <c:numCache>
                <c:formatCode>General</c:formatCode>
                <c:ptCount val="13"/>
                <c:pt idx="0">
                  <c:v>346</c:v>
                </c:pt>
                <c:pt idx="1">
                  <c:v>682</c:v>
                </c:pt>
                <c:pt idx="2" formatCode="0">
                  <c:v>829</c:v>
                </c:pt>
                <c:pt idx="3">
                  <c:v>848</c:v>
                </c:pt>
                <c:pt idx="4">
                  <c:v>0</c:v>
                </c:pt>
                <c:pt idx="5">
                  <c:v>4</c:v>
                </c:pt>
                <c:pt idx="6">
                  <c:v>298</c:v>
                </c:pt>
                <c:pt idx="7">
                  <c:v>0</c:v>
                </c:pt>
                <c:pt idx="8">
                  <c:v>138</c:v>
                </c:pt>
                <c:pt idx="9">
                  <c:v>0</c:v>
                </c:pt>
                <c:pt idx="10">
                  <c:v>0</c:v>
                </c:pt>
                <c:pt idx="11">
                  <c:v>0</c:v>
                </c:pt>
                <c:pt idx="12">
                  <c:v>0</c:v>
                </c:pt>
              </c:numCache>
            </c:numRef>
          </c:val>
          <c:extLst>
            <c:ext xmlns:c16="http://schemas.microsoft.com/office/drawing/2014/chart" uri="{C3380CC4-5D6E-409C-BE32-E72D297353CC}">
              <c16:uniqueId val="{00000000-C6C0-1048-892A-0BB6506E432C}"/>
            </c:ext>
          </c:extLst>
        </c:ser>
        <c:ser>
          <c:idx val="1"/>
          <c:order val="1"/>
          <c:tx>
            <c:strRef>
              <c:f>'December 11, 2020'!$C$2:$C$3</c:f>
              <c:strCache>
                <c:ptCount val="2"/>
                <c:pt idx="0">
                  <c:v>Total ICU</c:v>
                </c:pt>
                <c:pt idx="1">
                  <c:v>617</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6C0-1048-892A-0BB6506E432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'December 11,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'December 11, 2020'!$C$4:$C$16</c:f>
              <c:numCache>
                <c:formatCode>General</c:formatCode>
                <c:ptCount val="13"/>
                <c:pt idx="0">
                  <c:v>75</c:v>
                </c:pt>
                <c:pt idx="1">
                  <c:v>124</c:v>
                </c:pt>
                <c:pt idx="2">
                  <c:v>228</c:v>
                </c:pt>
                <c:pt idx="3">
                  <c:v>113</c:v>
                </c:pt>
                <c:pt idx="4">
                  <c:v>0</c:v>
                </c:pt>
                <c:pt idx="5">
                  <c:v>3</c:v>
                </c:pt>
                <c:pt idx="6">
                  <c:v>43</c:v>
                </c:pt>
                <c:pt idx="7">
                  <c:v>0</c:v>
                </c:pt>
                <c:pt idx="8">
                  <c:v>31</c:v>
                </c:pt>
                <c:pt idx="9">
                  <c:v>0</c:v>
                </c:pt>
                <c:pt idx="10">
                  <c:v>0</c:v>
                </c:pt>
                <c:pt idx="11">
                  <c:v>0</c:v>
                </c:pt>
                <c:pt idx="12">
                  <c:v>0</c:v>
                </c:pt>
              </c:numCache>
            </c:numRef>
          </c:val>
          <c:extLst>
            <c:ext xmlns:c16="http://schemas.microsoft.com/office/drawing/2014/chart" uri="{C3380CC4-5D6E-409C-BE32-E72D297353CC}">
              <c16:uniqueId val="{00000002-C6C0-1048-892A-0BB6506E432C}"/>
            </c:ext>
          </c:extLst>
        </c:ser>
        <c:dLbls>
          <c:dLblPos val="outEnd"/>
          <c:showLegendKey val="0"/>
          <c:showVal val="1"/>
          <c:showCatName val="0"/>
          <c:showSerName val="0"/>
          <c:showPercent val="0"/>
          <c:showBubbleSize val="0"/>
        </c:dLbls>
        <c:gapWidth val="100"/>
        <c:overlap val="-24"/>
        <c:axId val="514344520"/>
        <c:axId val="514343344"/>
      </c:barChart>
      <c:catAx>
        <c:axId val="51434452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43344"/>
        <c:crosses val="autoZero"/>
        <c:auto val="1"/>
        <c:lblAlgn val="ctr"/>
        <c:lblOffset val="100"/>
        <c:noMultiLvlLbl val="0"/>
      </c:catAx>
      <c:valAx>
        <c:axId val="51434334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44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2020-12-09</a:t>
            </a:r>
          </a:p>
        </c:rich>
      </c:tx>
      <c:layout>
        <c:manualLayout>
          <c:xMode val="edge"/>
          <c:yMode val="edge"/>
          <c:x val="0.10811960983779295"/>
          <c:y val="1.9209611803307765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'December 9, 2020'!$B$2:$B$3</c:f>
              <c:strCache>
                <c:ptCount val="2"/>
                <c:pt idx="0">
                  <c:v>Total Hospital</c:v>
                </c:pt>
                <c:pt idx="1">
                  <c:v>3108</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'December 9,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'December 9, 2020'!$B$4:$B$16</c:f>
              <c:numCache>
                <c:formatCode>General</c:formatCode>
                <c:ptCount val="13"/>
                <c:pt idx="0">
                  <c:v>352</c:v>
                </c:pt>
                <c:pt idx="1">
                  <c:v>654</c:v>
                </c:pt>
                <c:pt idx="2" formatCode="0">
                  <c:v>811</c:v>
                </c:pt>
                <c:pt idx="3">
                  <c:v>844</c:v>
                </c:pt>
                <c:pt idx="4">
                  <c:v>0</c:v>
                </c:pt>
                <c:pt idx="5">
                  <c:v>3</c:v>
                </c:pt>
                <c:pt idx="6">
                  <c:v>300</c:v>
                </c:pt>
                <c:pt idx="7">
                  <c:v>0</c:v>
                </c:pt>
                <c:pt idx="8">
                  <c:v>144</c:v>
                </c:pt>
                <c:pt idx="9">
                  <c:v>0</c:v>
                </c:pt>
                <c:pt idx="10">
                  <c:v>0</c:v>
                </c:pt>
                <c:pt idx="11">
                  <c:v>0</c:v>
                </c:pt>
                <c:pt idx="12">
                  <c:v>0</c:v>
                </c:pt>
              </c:numCache>
            </c:numRef>
          </c:val>
          <c:extLst>
            <c:ext xmlns:c16="http://schemas.microsoft.com/office/drawing/2014/chart" uri="{C3380CC4-5D6E-409C-BE32-E72D297353CC}">
              <c16:uniqueId val="{00000000-2529-344D-9EAF-A33FC80BA143}"/>
            </c:ext>
          </c:extLst>
        </c:ser>
        <c:ser>
          <c:idx val="1"/>
          <c:order val="1"/>
          <c:tx>
            <c:strRef>
              <c:f>'December 9, 2020'!$C$2:$C$3</c:f>
              <c:strCache>
                <c:ptCount val="2"/>
                <c:pt idx="0">
                  <c:v>Total ICU</c:v>
                </c:pt>
                <c:pt idx="1">
                  <c:v>596</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529-344D-9EAF-A33FC80BA14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'December 9,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'December 9, 2020'!$C$4:$C$16</c:f>
              <c:numCache>
                <c:formatCode>General</c:formatCode>
                <c:ptCount val="13"/>
                <c:pt idx="0">
                  <c:v>74</c:v>
                </c:pt>
                <c:pt idx="1">
                  <c:v>112</c:v>
                </c:pt>
                <c:pt idx="2">
                  <c:v>221</c:v>
                </c:pt>
                <c:pt idx="3">
                  <c:v>121</c:v>
                </c:pt>
                <c:pt idx="4">
                  <c:v>0</c:v>
                </c:pt>
                <c:pt idx="5">
                  <c:v>3</c:v>
                </c:pt>
                <c:pt idx="6">
                  <c:v>38</c:v>
                </c:pt>
                <c:pt idx="7">
                  <c:v>0</c:v>
                </c:pt>
                <c:pt idx="8">
                  <c:v>27</c:v>
                </c:pt>
                <c:pt idx="9">
                  <c:v>0</c:v>
                </c:pt>
                <c:pt idx="10">
                  <c:v>0</c:v>
                </c:pt>
                <c:pt idx="11">
                  <c:v>0</c:v>
                </c:pt>
                <c:pt idx="12">
                  <c:v>0</c:v>
                </c:pt>
              </c:numCache>
            </c:numRef>
          </c:val>
          <c:extLst>
            <c:ext xmlns:c16="http://schemas.microsoft.com/office/drawing/2014/chart" uri="{C3380CC4-5D6E-409C-BE32-E72D297353CC}">
              <c16:uniqueId val="{00000002-2529-344D-9EAF-A33FC80BA143}"/>
            </c:ext>
          </c:extLst>
        </c:ser>
        <c:dLbls>
          <c:dLblPos val="outEnd"/>
          <c:showLegendKey val="0"/>
          <c:showVal val="1"/>
          <c:showCatName val="0"/>
          <c:showSerName val="0"/>
          <c:showPercent val="0"/>
          <c:showBubbleSize val="0"/>
        </c:dLbls>
        <c:gapWidth val="100"/>
        <c:overlap val="-24"/>
        <c:axId val="514341384"/>
        <c:axId val="514338640"/>
      </c:barChart>
      <c:catAx>
        <c:axId val="51434138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38640"/>
        <c:crosses val="autoZero"/>
        <c:auto val="1"/>
        <c:lblAlgn val="ctr"/>
        <c:lblOffset val="100"/>
        <c:noMultiLvlLbl val="0"/>
      </c:catAx>
      <c:valAx>
        <c:axId val="51433864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41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2020-12-07</a:t>
            </a:r>
          </a:p>
        </c:rich>
      </c:tx>
      <c:layout>
        <c:manualLayout>
          <c:xMode val="edge"/>
          <c:yMode val="edge"/>
          <c:x val="0.10811960983779295"/>
          <c:y val="1.9209611803307765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'December 7, 2020'!$B$2:$B$3</c:f>
              <c:strCache>
                <c:ptCount val="2"/>
                <c:pt idx="0">
                  <c:v>Total Hospital</c:v>
                </c:pt>
                <c:pt idx="1">
                  <c:v>2968</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'December 7,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'December 7, 2020'!$B$4:$B$16</c:f>
              <c:numCache>
                <c:formatCode>General</c:formatCode>
                <c:ptCount val="13"/>
                <c:pt idx="0">
                  <c:v>338</c:v>
                </c:pt>
                <c:pt idx="1">
                  <c:v>601</c:v>
                </c:pt>
                <c:pt idx="2" formatCode="0">
                  <c:v>725</c:v>
                </c:pt>
                <c:pt idx="3">
                  <c:v>818</c:v>
                </c:pt>
                <c:pt idx="4">
                  <c:v>0</c:v>
                </c:pt>
                <c:pt idx="5">
                  <c:v>3</c:v>
                </c:pt>
                <c:pt idx="6">
                  <c:v>348</c:v>
                </c:pt>
                <c:pt idx="7">
                  <c:v>0</c:v>
                </c:pt>
                <c:pt idx="8">
                  <c:v>135</c:v>
                </c:pt>
                <c:pt idx="9">
                  <c:v>0</c:v>
                </c:pt>
                <c:pt idx="10">
                  <c:v>0</c:v>
                </c:pt>
                <c:pt idx="11">
                  <c:v>0</c:v>
                </c:pt>
                <c:pt idx="12">
                  <c:v>0</c:v>
                </c:pt>
              </c:numCache>
            </c:numRef>
          </c:val>
          <c:extLst>
            <c:ext xmlns:c16="http://schemas.microsoft.com/office/drawing/2014/chart" uri="{C3380CC4-5D6E-409C-BE32-E72D297353CC}">
              <c16:uniqueId val="{00000000-31A3-C949-8F94-4F01D093415F}"/>
            </c:ext>
          </c:extLst>
        </c:ser>
        <c:ser>
          <c:idx val="1"/>
          <c:order val="1"/>
          <c:tx>
            <c:strRef>
              <c:f>'December 7, 2020'!$C$2:$C$3</c:f>
              <c:strCache>
                <c:ptCount val="2"/>
                <c:pt idx="0">
                  <c:v>Total ICU</c:v>
                </c:pt>
                <c:pt idx="1">
                  <c:v>565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1A3-C949-8F94-4F01D093415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'December 7,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'December 7, 2020'!$C$4:$C$16</c:f>
              <c:numCache>
                <c:formatCode>General</c:formatCode>
                <c:ptCount val="13"/>
                <c:pt idx="0">
                  <c:v>76</c:v>
                </c:pt>
                <c:pt idx="1">
                  <c:v>100</c:v>
                </c:pt>
                <c:pt idx="2">
                  <c:v>213</c:v>
                </c:pt>
                <c:pt idx="3">
                  <c:v>105</c:v>
                </c:pt>
                <c:pt idx="4">
                  <c:v>0</c:v>
                </c:pt>
                <c:pt idx="5">
                  <c:v>2</c:v>
                </c:pt>
                <c:pt idx="6">
                  <c:v>43</c:v>
                </c:pt>
                <c:pt idx="7">
                  <c:v>0</c:v>
                </c:pt>
                <c:pt idx="8">
                  <c:v>26</c:v>
                </c:pt>
                <c:pt idx="9">
                  <c:v>0</c:v>
                </c:pt>
                <c:pt idx="10">
                  <c:v>0</c:v>
                </c:pt>
                <c:pt idx="11">
                  <c:v>0</c:v>
                </c:pt>
                <c:pt idx="12">
                  <c:v>0</c:v>
                </c:pt>
              </c:numCache>
            </c:numRef>
          </c:val>
          <c:extLst>
            <c:ext xmlns:c16="http://schemas.microsoft.com/office/drawing/2014/chart" uri="{C3380CC4-5D6E-409C-BE32-E72D297353CC}">
              <c16:uniqueId val="{00000002-31A3-C949-8F94-4F01D093415F}"/>
            </c:ext>
          </c:extLst>
        </c:ser>
        <c:dLbls>
          <c:dLblPos val="outEnd"/>
          <c:showLegendKey val="0"/>
          <c:showVal val="1"/>
          <c:showCatName val="0"/>
          <c:showSerName val="0"/>
          <c:showPercent val="0"/>
          <c:showBubbleSize val="0"/>
        </c:dLbls>
        <c:gapWidth val="100"/>
        <c:overlap val="-24"/>
        <c:axId val="514333152"/>
        <c:axId val="514336288"/>
      </c:barChart>
      <c:catAx>
        <c:axId val="51433315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36288"/>
        <c:crosses val="autoZero"/>
        <c:auto val="1"/>
        <c:lblAlgn val="ctr"/>
        <c:lblOffset val="100"/>
        <c:noMultiLvlLbl val="0"/>
      </c:catAx>
      <c:valAx>
        <c:axId val="51433628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33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2020-12-02</a:t>
            </a:r>
          </a:p>
        </c:rich>
      </c:tx>
      <c:layout>
        <c:manualLayout>
          <c:xMode val="edge"/>
          <c:yMode val="edge"/>
          <c:x val="0.10811960983779295"/>
          <c:y val="1.9209611803307765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'December 2, 2020'!$B$2:$B$3</c:f>
              <c:strCache>
                <c:ptCount val="2"/>
                <c:pt idx="0">
                  <c:v>Total Hospital</c:v>
                </c:pt>
                <c:pt idx="1">
                  <c:v>2683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'December 2,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'December 2, 2020'!$B$4:$B$16</c:f>
              <c:numCache>
                <c:formatCode>General</c:formatCode>
                <c:ptCount val="13"/>
                <c:pt idx="0">
                  <c:v>336</c:v>
                </c:pt>
                <c:pt idx="1">
                  <c:v>479</c:v>
                </c:pt>
                <c:pt idx="2" formatCode="0">
                  <c:v>656</c:v>
                </c:pt>
                <c:pt idx="3">
                  <c:v>740</c:v>
                </c:pt>
                <c:pt idx="4">
                  <c:v>0</c:v>
                </c:pt>
                <c:pt idx="5">
                  <c:v>0</c:v>
                </c:pt>
                <c:pt idx="6">
                  <c:v>351</c:v>
                </c:pt>
                <c:pt idx="7">
                  <c:v>0</c:v>
                </c:pt>
                <c:pt idx="8">
                  <c:v>121</c:v>
                </c:pt>
                <c:pt idx="9">
                  <c:v>0</c:v>
                </c:pt>
                <c:pt idx="10">
                  <c:v>0</c:v>
                </c:pt>
                <c:pt idx="11">
                  <c:v>0</c:v>
                </c:pt>
                <c:pt idx="12">
                  <c:v>0</c:v>
                </c:pt>
              </c:numCache>
            </c:numRef>
          </c:val>
          <c:extLst>
            <c:ext xmlns:c16="http://schemas.microsoft.com/office/drawing/2014/chart" uri="{C3380CC4-5D6E-409C-BE32-E72D297353CC}">
              <c16:uniqueId val="{00000000-07E3-5147-BA55-73CCD65E93D4}"/>
            </c:ext>
          </c:extLst>
        </c:ser>
        <c:ser>
          <c:idx val="1"/>
          <c:order val="1"/>
          <c:tx>
            <c:strRef>
              <c:f>'December 2, 2020'!$C$2:$C$3</c:f>
              <c:strCache>
                <c:ptCount val="2"/>
                <c:pt idx="0">
                  <c:v>Total ICU</c:v>
                </c:pt>
                <c:pt idx="1">
                  <c:v>530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7E3-5147-BA55-73CCD65E93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'December 2,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'December 2, 2020'!$C$4:$C$16</c:f>
              <c:numCache>
                <c:formatCode>General</c:formatCode>
                <c:ptCount val="13"/>
                <c:pt idx="0">
                  <c:v>76</c:v>
                </c:pt>
                <c:pt idx="1">
                  <c:v>97</c:v>
                </c:pt>
                <c:pt idx="2">
                  <c:v>183</c:v>
                </c:pt>
                <c:pt idx="3">
                  <c:v>99</c:v>
                </c:pt>
                <c:pt idx="4">
                  <c:v>0</c:v>
                </c:pt>
                <c:pt idx="5">
                  <c:v>0</c:v>
                </c:pt>
                <c:pt idx="6">
                  <c:v>51</c:v>
                </c:pt>
                <c:pt idx="7">
                  <c:v>0</c:v>
                </c:pt>
                <c:pt idx="8">
                  <c:v>24</c:v>
                </c:pt>
                <c:pt idx="9">
                  <c:v>0</c:v>
                </c:pt>
                <c:pt idx="10">
                  <c:v>0</c:v>
                </c:pt>
                <c:pt idx="11">
                  <c:v>0</c:v>
                </c:pt>
                <c:pt idx="12">
                  <c:v>0</c:v>
                </c:pt>
              </c:numCache>
            </c:numRef>
          </c:val>
          <c:extLst>
            <c:ext xmlns:c16="http://schemas.microsoft.com/office/drawing/2014/chart" uri="{C3380CC4-5D6E-409C-BE32-E72D297353CC}">
              <c16:uniqueId val="{00000002-07E3-5147-BA55-73CCD65E93D4}"/>
            </c:ext>
          </c:extLst>
        </c:ser>
        <c:dLbls>
          <c:dLblPos val="outEnd"/>
          <c:showLegendKey val="0"/>
          <c:showVal val="1"/>
          <c:showCatName val="0"/>
          <c:showSerName val="0"/>
          <c:showPercent val="0"/>
          <c:showBubbleSize val="0"/>
        </c:dLbls>
        <c:gapWidth val="100"/>
        <c:overlap val="-24"/>
        <c:axId val="514338248"/>
        <c:axId val="514339816"/>
      </c:barChart>
      <c:catAx>
        <c:axId val="51433824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39816"/>
        <c:crosses val="autoZero"/>
        <c:auto val="1"/>
        <c:lblAlgn val="ctr"/>
        <c:lblOffset val="100"/>
        <c:noMultiLvlLbl val="0"/>
      </c:catAx>
      <c:valAx>
        <c:axId val="51433981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382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2020-11-30</a:t>
            </a:r>
          </a:p>
        </c:rich>
      </c:tx>
      <c:layout>
        <c:manualLayout>
          <c:xMode val="edge"/>
          <c:yMode val="edge"/>
          <c:x val="0.10811960983779295"/>
          <c:y val="1.9209611803307765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'November 30, 2020'!$B$2:$B$3</c:f>
              <c:strCache>
                <c:ptCount val="2"/>
                <c:pt idx="0">
                  <c:v>Total Hospital</c:v>
                </c:pt>
                <c:pt idx="1">
                  <c:v>2513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30,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30, 2020'!$B$4:$B$16</c:f>
              <c:numCache>
                <c:formatCode>General</c:formatCode>
                <c:ptCount val="13"/>
                <c:pt idx="0">
                  <c:v>301</c:v>
                </c:pt>
                <c:pt idx="1">
                  <c:v>435</c:v>
                </c:pt>
                <c:pt idx="2" formatCode="0">
                  <c:v>618</c:v>
                </c:pt>
                <c:pt idx="3">
                  <c:v>693</c:v>
                </c:pt>
                <c:pt idx="4">
                  <c:v>0</c:v>
                </c:pt>
                <c:pt idx="5">
                  <c:v>1</c:v>
                </c:pt>
                <c:pt idx="6">
                  <c:v>342</c:v>
                </c:pt>
                <c:pt idx="7">
                  <c:v>0</c:v>
                </c:pt>
                <c:pt idx="8">
                  <c:v>123</c:v>
                </c:pt>
                <c:pt idx="9">
                  <c:v>0</c:v>
                </c:pt>
                <c:pt idx="10">
                  <c:v>0</c:v>
                </c:pt>
                <c:pt idx="11">
                  <c:v>0</c:v>
                </c:pt>
                <c:pt idx="12">
                  <c:v>0</c:v>
                </c:pt>
              </c:numCache>
            </c:numRef>
          </c:val>
          <c:extLst>
            <c:ext xmlns:c16="http://schemas.microsoft.com/office/drawing/2014/chart" uri="{C3380CC4-5D6E-409C-BE32-E72D297353CC}">
              <c16:uniqueId val="{00000000-E8D4-944E-9070-02A1D947C911}"/>
            </c:ext>
          </c:extLst>
        </c:ser>
        <c:ser>
          <c:idx val="1"/>
          <c:order val="1"/>
          <c:tx>
            <c:strRef>
              <c:f>'November 30, 2020'!$C$2:$C$3</c:f>
              <c:strCache>
                <c:ptCount val="2"/>
                <c:pt idx="0">
                  <c:v>Total ICU</c:v>
                </c:pt>
                <c:pt idx="1">
                  <c:v>492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D4-944E-9070-02A1D947C91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30,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30, 2020'!$C$4:$C$16</c:f>
              <c:numCache>
                <c:formatCode>General</c:formatCode>
                <c:ptCount val="13"/>
                <c:pt idx="0">
                  <c:v>69</c:v>
                </c:pt>
                <c:pt idx="1">
                  <c:v>95</c:v>
                </c:pt>
                <c:pt idx="2">
                  <c:v>168</c:v>
                </c:pt>
                <c:pt idx="3">
                  <c:v>94</c:v>
                </c:pt>
                <c:pt idx="4">
                  <c:v>0</c:v>
                </c:pt>
                <c:pt idx="5">
                  <c:v>0</c:v>
                </c:pt>
                <c:pt idx="6">
                  <c:v>43</c:v>
                </c:pt>
                <c:pt idx="7">
                  <c:v>0</c:v>
                </c:pt>
                <c:pt idx="8">
                  <c:v>23</c:v>
                </c:pt>
                <c:pt idx="9">
                  <c:v>0</c:v>
                </c:pt>
                <c:pt idx="10">
                  <c:v>0</c:v>
                </c:pt>
                <c:pt idx="11">
                  <c:v>0</c:v>
                </c:pt>
                <c:pt idx="12">
                  <c:v>0</c:v>
                </c:pt>
              </c:numCache>
            </c:numRef>
          </c:val>
          <c:extLst>
            <c:ext xmlns:c16="http://schemas.microsoft.com/office/drawing/2014/chart" uri="{C3380CC4-5D6E-409C-BE32-E72D297353CC}">
              <c16:uniqueId val="{00000002-E8D4-944E-9070-02A1D947C911}"/>
            </c:ext>
          </c:extLst>
        </c:ser>
        <c:dLbls>
          <c:dLblPos val="outEnd"/>
          <c:showLegendKey val="0"/>
          <c:showVal val="1"/>
          <c:showCatName val="0"/>
          <c:showSerName val="0"/>
          <c:showPercent val="0"/>
          <c:showBubbleSize val="0"/>
        </c:dLbls>
        <c:gapWidth val="100"/>
        <c:overlap val="-24"/>
        <c:axId val="514340600"/>
        <c:axId val="514340992"/>
      </c:barChart>
      <c:catAx>
        <c:axId val="51434060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40992"/>
        <c:crosses val="autoZero"/>
        <c:auto val="1"/>
        <c:lblAlgn val="ctr"/>
        <c:lblOffset val="100"/>
        <c:noMultiLvlLbl val="0"/>
      </c:catAx>
      <c:valAx>
        <c:axId val="51434099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40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2022-08-12</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'August 12, 2022'!$B$2:$B$3</c:f>
              <c:strCache>
                <c:ptCount val="2"/>
                <c:pt idx="0">
                  <c:v>Total Hospital</c:v>
                </c:pt>
                <c:pt idx="1">
                  <c:v>4916</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12,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12, 2022'!$B$4:$B$16</c:f>
              <c:numCache>
                <c:formatCode>General</c:formatCode>
                <c:ptCount val="13"/>
                <c:pt idx="0">
                  <c:v>385</c:v>
                </c:pt>
                <c:pt idx="1">
                  <c:v>748</c:v>
                </c:pt>
                <c:pt idx="2" formatCode="0">
                  <c:v>1382</c:v>
                </c:pt>
                <c:pt idx="3" formatCode="#,##0">
                  <c:v>2000</c:v>
                </c:pt>
                <c:pt idx="4">
                  <c:v>50</c:v>
                </c:pt>
                <c:pt idx="5">
                  <c:v>32</c:v>
                </c:pt>
                <c:pt idx="6">
                  <c:v>57</c:v>
                </c:pt>
                <c:pt idx="7">
                  <c:v>19</c:v>
                </c:pt>
                <c:pt idx="8">
                  <c:v>229</c:v>
                </c:pt>
                <c:pt idx="9">
                  <c:v>14</c:v>
                </c:pt>
                <c:pt idx="10">
                  <c:v>0</c:v>
                </c:pt>
                <c:pt idx="11">
                  <c:v>0</c:v>
                </c:pt>
                <c:pt idx="12">
                  <c:v>0</c:v>
                </c:pt>
              </c:numCache>
            </c:numRef>
          </c:val>
          <c:extLst>
            <c:ext xmlns:c16="http://schemas.microsoft.com/office/drawing/2014/chart" uri="{C3380CC4-5D6E-409C-BE32-E72D297353CC}">
              <c16:uniqueId val="{00000000-244C-4CFA-86CE-B5AD75A5BBC8}"/>
            </c:ext>
          </c:extLst>
        </c:ser>
        <c:ser>
          <c:idx val="1"/>
          <c:order val="1"/>
          <c:tx>
            <c:strRef>
              <c:f>'August 12, 2022'!$C$2:$C$3</c:f>
              <c:strCache>
                <c:ptCount val="2"/>
                <c:pt idx="0">
                  <c:v>Total ICU</c:v>
                </c:pt>
                <c:pt idx="1">
                  <c:v>289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44C-4CFA-86CE-B5AD75A5BBC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12,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12, 2022'!$C$4:$C$16</c:f>
              <c:numCache>
                <c:formatCode>General</c:formatCode>
                <c:ptCount val="13"/>
                <c:pt idx="0">
                  <c:v>23</c:v>
                </c:pt>
                <c:pt idx="1">
                  <c:v>28</c:v>
                </c:pt>
                <c:pt idx="2">
                  <c:v>142</c:v>
                </c:pt>
                <c:pt idx="3">
                  <c:v>57</c:v>
                </c:pt>
                <c:pt idx="4">
                  <c:v>7</c:v>
                </c:pt>
                <c:pt idx="5">
                  <c:v>3</c:v>
                </c:pt>
                <c:pt idx="6">
                  <c:v>12</c:v>
                </c:pt>
                <c:pt idx="7">
                  <c:v>0</c:v>
                </c:pt>
                <c:pt idx="8">
                  <c:v>15</c:v>
                </c:pt>
                <c:pt idx="9">
                  <c:v>2</c:v>
                </c:pt>
                <c:pt idx="10">
                  <c:v>0</c:v>
                </c:pt>
                <c:pt idx="11">
                  <c:v>0</c:v>
                </c:pt>
                <c:pt idx="12">
                  <c:v>0</c:v>
                </c:pt>
              </c:numCache>
            </c:numRef>
          </c:val>
          <c:extLst>
            <c:ext xmlns:c16="http://schemas.microsoft.com/office/drawing/2014/chart" uri="{C3380CC4-5D6E-409C-BE32-E72D297353CC}">
              <c16:uniqueId val="{00000002-244C-4CFA-86CE-B5AD75A5BBC8}"/>
            </c:ext>
          </c:extLst>
        </c:ser>
        <c:dLbls>
          <c:dLblPos val="outEnd"/>
          <c:showLegendKey val="0"/>
          <c:showVal val="1"/>
          <c:showCatName val="0"/>
          <c:showSerName val="0"/>
          <c:showPercent val="0"/>
          <c:showBubbleSize val="0"/>
        </c:dLbls>
        <c:gapWidth val="100"/>
        <c:overlap val="-24"/>
        <c:axId val="528188568"/>
        <c:axId val="528192880"/>
      </c:barChart>
      <c:catAx>
        <c:axId val="5281885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92880"/>
        <c:crosses val="autoZero"/>
        <c:auto val="1"/>
        <c:lblAlgn val="ctr"/>
        <c:lblOffset val="100"/>
        <c:noMultiLvlLbl val="0"/>
      </c:catAx>
      <c:valAx>
        <c:axId val="5281928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88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2022-04-11</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'April 11, 2022'!$B$2:$B$3</c:f>
              <c:strCache>
                <c:ptCount val="2"/>
                <c:pt idx="0">
                  <c:v>Total Hospital</c:v>
                </c:pt>
                <c:pt idx="1">
                  <c:v>5318</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11,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11, 2022'!$B$4:$B$16</c:f>
              <c:numCache>
                <c:formatCode>General</c:formatCode>
                <c:ptCount val="13"/>
                <c:pt idx="0">
                  <c:v>324</c:v>
                </c:pt>
                <c:pt idx="1">
                  <c:v>990</c:v>
                </c:pt>
                <c:pt idx="2" formatCode="0">
                  <c:v>1090</c:v>
                </c:pt>
                <c:pt idx="3" formatCode="#,##0">
                  <c:v>1793</c:v>
                </c:pt>
                <c:pt idx="4">
                  <c:v>57</c:v>
                </c:pt>
                <c:pt idx="5">
                  <c:v>178</c:v>
                </c:pt>
                <c:pt idx="6">
                  <c:v>426</c:v>
                </c:pt>
                <c:pt idx="7">
                  <c:v>30</c:v>
                </c:pt>
                <c:pt idx="8">
                  <c:v>354</c:v>
                </c:pt>
                <c:pt idx="9">
                  <c:v>35</c:v>
                </c:pt>
                <c:pt idx="10">
                  <c:v>8</c:v>
                </c:pt>
                <c:pt idx="11">
                  <c:v>0</c:v>
                </c:pt>
                <c:pt idx="12">
                  <c:v>33</c:v>
                </c:pt>
              </c:numCache>
            </c:numRef>
          </c:val>
          <c:extLst>
            <c:ext xmlns:c16="http://schemas.microsoft.com/office/drawing/2014/chart" uri="{C3380CC4-5D6E-409C-BE32-E72D297353CC}">
              <c16:uniqueId val="{00000000-EDA9-447A-B34A-7F5482B615D8}"/>
            </c:ext>
          </c:extLst>
        </c:ser>
        <c:ser>
          <c:idx val="1"/>
          <c:order val="1"/>
          <c:tx>
            <c:strRef>
              <c:f>'April 11, 2022'!$C$2:$C$3</c:f>
              <c:strCache>
                <c:ptCount val="2"/>
                <c:pt idx="0">
                  <c:v>Total ICU</c:v>
                </c:pt>
                <c:pt idx="1">
                  <c:v>407</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11,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11, 2022'!$C$4:$C$16</c:f>
              <c:numCache>
                <c:formatCode>General</c:formatCode>
                <c:ptCount val="13"/>
                <c:pt idx="0">
                  <c:v>38</c:v>
                </c:pt>
                <c:pt idx="1">
                  <c:v>44</c:v>
                </c:pt>
                <c:pt idx="2">
                  <c:v>184</c:v>
                </c:pt>
                <c:pt idx="3">
                  <c:v>69</c:v>
                </c:pt>
                <c:pt idx="4">
                  <c:v>9</c:v>
                </c:pt>
                <c:pt idx="5">
                  <c:v>9</c:v>
                </c:pt>
                <c:pt idx="6">
                  <c:v>24</c:v>
                </c:pt>
                <c:pt idx="7">
                  <c:v>3</c:v>
                </c:pt>
                <c:pt idx="8">
                  <c:v>20</c:v>
                </c:pt>
                <c:pt idx="9">
                  <c:v>7</c:v>
                </c:pt>
                <c:pt idx="10">
                  <c:v>0</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46736"/>
        <c:axId val="451743992"/>
      </c:barChart>
      <c:catAx>
        <c:axId val="45174673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43992"/>
        <c:crosses val="autoZero"/>
        <c:auto val="1"/>
        <c:lblAlgn val="ctr"/>
        <c:lblOffset val="100"/>
        <c:noMultiLvlLbl val="0"/>
      </c:catAx>
      <c:valAx>
        <c:axId val="45174399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46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2020-11-27</a:t>
            </a:r>
          </a:p>
        </c:rich>
      </c:tx>
      <c:layout>
        <c:manualLayout>
          <c:xMode val="edge"/>
          <c:yMode val="edge"/>
          <c:x val="0.10811960983779295"/>
          <c:y val="1.9209611803307765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'November 27, 2020'!$B$2:$B$3</c:f>
              <c:strCache>
                <c:ptCount val="2"/>
                <c:pt idx="0">
                  <c:v>Total Hospital</c:v>
                </c:pt>
                <c:pt idx="1">
                  <c:v>2321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27,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27, 2020'!$B$4:$B$16</c:f>
              <c:numCache>
                <c:formatCode>General</c:formatCode>
                <c:ptCount val="13"/>
                <c:pt idx="0">
                  <c:v>294</c:v>
                </c:pt>
                <c:pt idx="1">
                  <c:v>383</c:v>
                </c:pt>
                <c:pt idx="2" formatCode="0">
                  <c:v>541</c:v>
                </c:pt>
                <c:pt idx="3">
                  <c:v>669</c:v>
                </c:pt>
                <c:pt idx="4">
                  <c:v>0</c:v>
                </c:pt>
                <c:pt idx="5">
                  <c:v>1</c:v>
                </c:pt>
                <c:pt idx="6">
                  <c:v>322</c:v>
                </c:pt>
                <c:pt idx="7">
                  <c:v>0</c:v>
                </c:pt>
                <c:pt idx="8">
                  <c:v>111</c:v>
                </c:pt>
                <c:pt idx="9">
                  <c:v>0</c:v>
                </c:pt>
                <c:pt idx="10">
                  <c:v>0</c:v>
                </c:pt>
                <c:pt idx="11">
                  <c:v>0</c:v>
                </c:pt>
                <c:pt idx="12">
                  <c:v>0</c:v>
                </c:pt>
              </c:numCache>
            </c:numRef>
          </c:val>
          <c:extLst>
            <c:ext xmlns:c16="http://schemas.microsoft.com/office/drawing/2014/chart" uri="{C3380CC4-5D6E-409C-BE32-E72D297353CC}">
              <c16:uniqueId val="{00000000-ECA3-444C-979A-DDE8120BE231}"/>
            </c:ext>
          </c:extLst>
        </c:ser>
        <c:ser>
          <c:idx val="1"/>
          <c:order val="1"/>
          <c:tx>
            <c:strRef>
              <c:f>'November 27, 2020'!$C$2:$C$3</c:f>
              <c:strCache>
                <c:ptCount val="2"/>
                <c:pt idx="0">
                  <c:v>Total ICU</c:v>
                </c:pt>
                <c:pt idx="1">
                  <c:v>450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A3-444C-979A-DDE8120BE2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27,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27, 2020'!$C$4:$C$16</c:f>
              <c:numCache>
                <c:formatCode>General</c:formatCode>
                <c:ptCount val="13"/>
                <c:pt idx="0">
                  <c:v>64</c:v>
                </c:pt>
                <c:pt idx="1">
                  <c:v>84</c:v>
                </c:pt>
                <c:pt idx="2">
                  <c:v>151</c:v>
                </c:pt>
                <c:pt idx="3">
                  <c:v>90</c:v>
                </c:pt>
                <c:pt idx="4">
                  <c:v>0</c:v>
                </c:pt>
                <c:pt idx="5">
                  <c:v>0</c:v>
                </c:pt>
                <c:pt idx="6">
                  <c:v>45</c:v>
                </c:pt>
                <c:pt idx="7">
                  <c:v>0</c:v>
                </c:pt>
                <c:pt idx="8">
                  <c:v>16</c:v>
                </c:pt>
                <c:pt idx="9">
                  <c:v>0</c:v>
                </c:pt>
                <c:pt idx="10">
                  <c:v>0</c:v>
                </c:pt>
                <c:pt idx="11">
                  <c:v>0</c:v>
                </c:pt>
                <c:pt idx="12">
                  <c:v>0</c:v>
                </c:pt>
              </c:numCache>
            </c:numRef>
          </c:val>
          <c:extLst>
            <c:ext xmlns:c16="http://schemas.microsoft.com/office/drawing/2014/chart" uri="{C3380CC4-5D6E-409C-BE32-E72D297353CC}">
              <c16:uniqueId val="{00000002-ECA3-444C-979A-DDE8120BE231}"/>
            </c:ext>
          </c:extLst>
        </c:ser>
        <c:dLbls>
          <c:dLblPos val="outEnd"/>
          <c:showLegendKey val="0"/>
          <c:showVal val="1"/>
          <c:showCatName val="0"/>
          <c:showSerName val="0"/>
          <c:showPercent val="0"/>
          <c:showBubbleSize val="0"/>
        </c:dLbls>
        <c:gapWidth val="100"/>
        <c:overlap val="-24"/>
        <c:axId val="514334328"/>
        <c:axId val="514342560"/>
      </c:barChart>
      <c:catAx>
        <c:axId val="51433432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42560"/>
        <c:crosses val="autoZero"/>
        <c:auto val="1"/>
        <c:lblAlgn val="ctr"/>
        <c:lblOffset val="100"/>
        <c:noMultiLvlLbl val="0"/>
      </c:catAx>
      <c:valAx>
        <c:axId val="51434256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34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2020-11-25</a:t>
            </a:r>
          </a:p>
        </c:rich>
      </c:tx>
      <c:layout>
        <c:manualLayout>
          <c:xMode val="edge"/>
          <c:yMode val="edge"/>
          <c:x val="0.10811960983779295"/>
          <c:y val="1.9209611803307765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'November 25, 2020'!$B$2:$B$3</c:f>
              <c:strCache>
                <c:ptCount val="2"/>
                <c:pt idx="0">
                  <c:v>Total Hospital</c:v>
                </c:pt>
                <c:pt idx="1">
                  <c:v>2219</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25,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25, 2020'!$B$4:$B$16</c:f>
              <c:numCache>
                <c:formatCode>General</c:formatCode>
                <c:ptCount val="13"/>
                <c:pt idx="0">
                  <c:v>284</c:v>
                </c:pt>
                <c:pt idx="1">
                  <c:v>348</c:v>
                </c:pt>
                <c:pt idx="2" formatCode="0">
                  <c:v>523</c:v>
                </c:pt>
                <c:pt idx="3">
                  <c:v>655</c:v>
                </c:pt>
                <c:pt idx="4">
                  <c:v>0</c:v>
                </c:pt>
                <c:pt idx="5">
                  <c:v>1</c:v>
                </c:pt>
                <c:pt idx="6">
                  <c:v>303</c:v>
                </c:pt>
                <c:pt idx="7">
                  <c:v>0</c:v>
                </c:pt>
                <c:pt idx="8">
                  <c:v>105</c:v>
                </c:pt>
                <c:pt idx="9">
                  <c:v>0</c:v>
                </c:pt>
                <c:pt idx="10">
                  <c:v>0</c:v>
                </c:pt>
                <c:pt idx="11">
                  <c:v>0</c:v>
                </c:pt>
                <c:pt idx="12">
                  <c:v>0</c:v>
                </c:pt>
              </c:numCache>
            </c:numRef>
          </c:val>
          <c:extLst>
            <c:ext xmlns:c16="http://schemas.microsoft.com/office/drawing/2014/chart" uri="{C3380CC4-5D6E-409C-BE32-E72D297353CC}">
              <c16:uniqueId val="{00000000-D520-CF46-9ECB-D6EE48BEB19D}"/>
            </c:ext>
          </c:extLst>
        </c:ser>
        <c:ser>
          <c:idx val="1"/>
          <c:order val="1"/>
          <c:tx>
            <c:strRef>
              <c:f>'November 25, 2020'!$C$2:$C$3</c:f>
              <c:strCache>
                <c:ptCount val="2"/>
                <c:pt idx="0">
                  <c:v>Total ICU</c:v>
                </c:pt>
                <c:pt idx="1">
                  <c:v>449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20-CF46-9ECB-D6EE48BEB19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25,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25, 2020'!$C$4:$C$16</c:f>
              <c:numCache>
                <c:formatCode>General</c:formatCode>
                <c:ptCount val="13"/>
                <c:pt idx="0">
                  <c:v>61</c:v>
                </c:pt>
                <c:pt idx="1">
                  <c:v>66</c:v>
                </c:pt>
                <c:pt idx="2">
                  <c:v>159</c:v>
                </c:pt>
                <c:pt idx="3">
                  <c:v>93</c:v>
                </c:pt>
                <c:pt idx="4">
                  <c:v>0</c:v>
                </c:pt>
                <c:pt idx="5">
                  <c:v>0</c:v>
                </c:pt>
                <c:pt idx="6">
                  <c:v>50</c:v>
                </c:pt>
                <c:pt idx="7">
                  <c:v>0</c:v>
                </c:pt>
                <c:pt idx="8">
                  <c:v>20</c:v>
                </c:pt>
                <c:pt idx="9">
                  <c:v>0</c:v>
                </c:pt>
                <c:pt idx="10">
                  <c:v>0</c:v>
                </c:pt>
                <c:pt idx="11">
                  <c:v>0</c:v>
                </c:pt>
                <c:pt idx="12">
                  <c:v>0</c:v>
                </c:pt>
              </c:numCache>
            </c:numRef>
          </c:val>
          <c:extLst>
            <c:ext xmlns:c16="http://schemas.microsoft.com/office/drawing/2014/chart" uri="{C3380CC4-5D6E-409C-BE32-E72D297353CC}">
              <c16:uniqueId val="{00000002-D520-CF46-9ECB-D6EE48BEB19D}"/>
            </c:ext>
          </c:extLst>
        </c:ser>
        <c:dLbls>
          <c:dLblPos val="outEnd"/>
          <c:showLegendKey val="0"/>
          <c:showVal val="1"/>
          <c:showCatName val="0"/>
          <c:showSerName val="0"/>
          <c:showPercent val="0"/>
          <c:showBubbleSize val="0"/>
        </c:dLbls>
        <c:gapWidth val="100"/>
        <c:overlap val="-24"/>
        <c:axId val="514343736"/>
        <c:axId val="514344912"/>
      </c:barChart>
      <c:catAx>
        <c:axId val="51434373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44912"/>
        <c:crosses val="autoZero"/>
        <c:auto val="1"/>
        <c:lblAlgn val="ctr"/>
        <c:lblOffset val="100"/>
        <c:noMultiLvlLbl val="0"/>
      </c:catAx>
      <c:valAx>
        <c:axId val="51434491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43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2020-11-23</a:t>
            </a:r>
          </a:p>
        </c:rich>
      </c:tx>
      <c:layout>
        <c:manualLayout>
          <c:xMode val="edge"/>
          <c:yMode val="edge"/>
          <c:x val="0.10811960983779295"/>
          <c:y val="1.9209611803307765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'November 23, 2020'!$B$2:$B$3</c:f>
              <c:strCache>
                <c:ptCount val="2"/>
                <c:pt idx="0">
                  <c:v>Total Hospital</c:v>
                </c:pt>
                <c:pt idx="1">
                  <c:v>2040</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23,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23, 2020'!$B$4:$B$16</c:f>
              <c:numCache>
                <c:formatCode>General</c:formatCode>
                <c:ptCount val="13"/>
                <c:pt idx="0">
                  <c:v>227</c:v>
                </c:pt>
                <c:pt idx="1">
                  <c:v>319</c:v>
                </c:pt>
                <c:pt idx="2" formatCode="0">
                  <c:v>484</c:v>
                </c:pt>
                <c:pt idx="3">
                  <c:v>642</c:v>
                </c:pt>
                <c:pt idx="4">
                  <c:v>0</c:v>
                </c:pt>
                <c:pt idx="5">
                  <c:v>0</c:v>
                </c:pt>
                <c:pt idx="6">
                  <c:v>288</c:v>
                </c:pt>
                <c:pt idx="7">
                  <c:v>0</c:v>
                </c:pt>
                <c:pt idx="8">
                  <c:v>80</c:v>
                </c:pt>
                <c:pt idx="9">
                  <c:v>0</c:v>
                </c:pt>
                <c:pt idx="10">
                  <c:v>0</c:v>
                </c:pt>
                <c:pt idx="11">
                  <c:v>0</c:v>
                </c:pt>
                <c:pt idx="12">
                  <c:v>0</c:v>
                </c:pt>
              </c:numCache>
            </c:numRef>
          </c:val>
          <c:extLst>
            <c:ext xmlns:c16="http://schemas.microsoft.com/office/drawing/2014/chart" uri="{C3380CC4-5D6E-409C-BE32-E72D297353CC}">
              <c16:uniqueId val="{00000000-922B-3342-AB9C-F7AC11EFFC77}"/>
            </c:ext>
          </c:extLst>
        </c:ser>
        <c:ser>
          <c:idx val="1"/>
          <c:order val="1"/>
          <c:tx>
            <c:strRef>
              <c:f>'November 23, 2020'!$C$2:$C$3</c:f>
              <c:strCache>
                <c:ptCount val="2"/>
                <c:pt idx="0">
                  <c:v>Total ICU</c:v>
                </c:pt>
                <c:pt idx="1">
                  <c:v>438</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2B-3342-AB9C-F7AC11EFFC7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23,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23, 2020'!$C$4:$C$16</c:f>
              <c:numCache>
                <c:formatCode>General</c:formatCode>
                <c:ptCount val="13"/>
                <c:pt idx="0">
                  <c:v>57</c:v>
                </c:pt>
                <c:pt idx="1">
                  <c:v>60</c:v>
                </c:pt>
                <c:pt idx="2">
                  <c:v>147</c:v>
                </c:pt>
                <c:pt idx="3">
                  <c:v>103</c:v>
                </c:pt>
                <c:pt idx="4">
                  <c:v>0</c:v>
                </c:pt>
                <c:pt idx="5">
                  <c:v>0</c:v>
                </c:pt>
                <c:pt idx="6">
                  <c:v>52</c:v>
                </c:pt>
                <c:pt idx="7">
                  <c:v>0</c:v>
                </c:pt>
                <c:pt idx="8">
                  <c:v>19</c:v>
                </c:pt>
                <c:pt idx="9">
                  <c:v>0</c:v>
                </c:pt>
                <c:pt idx="10">
                  <c:v>0</c:v>
                </c:pt>
                <c:pt idx="11">
                  <c:v>0</c:v>
                </c:pt>
                <c:pt idx="12">
                  <c:v>0</c:v>
                </c:pt>
              </c:numCache>
            </c:numRef>
          </c:val>
          <c:extLst>
            <c:ext xmlns:c16="http://schemas.microsoft.com/office/drawing/2014/chart" uri="{C3380CC4-5D6E-409C-BE32-E72D297353CC}">
              <c16:uniqueId val="{00000002-922B-3342-AB9C-F7AC11EFFC77}"/>
            </c:ext>
          </c:extLst>
        </c:ser>
        <c:dLbls>
          <c:dLblPos val="outEnd"/>
          <c:showLegendKey val="0"/>
          <c:showVal val="1"/>
          <c:showCatName val="0"/>
          <c:showSerName val="0"/>
          <c:showPercent val="0"/>
          <c:showBubbleSize val="0"/>
        </c:dLbls>
        <c:gapWidth val="100"/>
        <c:overlap val="-24"/>
        <c:axId val="514333544"/>
        <c:axId val="514333936"/>
      </c:barChart>
      <c:catAx>
        <c:axId val="51433354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33936"/>
        <c:crosses val="autoZero"/>
        <c:auto val="1"/>
        <c:lblAlgn val="ctr"/>
        <c:lblOffset val="100"/>
        <c:noMultiLvlLbl val="0"/>
      </c:catAx>
      <c:valAx>
        <c:axId val="51433393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33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2020-11-20</a:t>
            </a:r>
          </a:p>
        </c:rich>
      </c:tx>
      <c:layout>
        <c:manualLayout>
          <c:xMode val="edge"/>
          <c:yMode val="edge"/>
          <c:x val="0.10811960983779295"/>
          <c:y val="1.9209611803307765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'November 20, 2020'!$B$2:$B$3</c:f>
              <c:strCache>
                <c:ptCount val="2"/>
                <c:pt idx="0">
                  <c:v>Total Hospital</c:v>
                </c:pt>
                <c:pt idx="1">
                  <c:v>2027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20,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20, 2020'!$B$4:$B$16</c:f>
              <c:numCache>
                <c:formatCode>General</c:formatCode>
                <c:ptCount val="13"/>
                <c:pt idx="0">
                  <c:v>217</c:v>
                </c:pt>
                <c:pt idx="1">
                  <c:v>284</c:v>
                </c:pt>
                <c:pt idx="2" formatCode="0">
                  <c:v>526</c:v>
                </c:pt>
                <c:pt idx="3">
                  <c:v>651</c:v>
                </c:pt>
                <c:pt idx="4">
                  <c:v>1</c:v>
                </c:pt>
                <c:pt idx="5">
                  <c:v>0</c:v>
                </c:pt>
                <c:pt idx="6">
                  <c:v>263</c:v>
                </c:pt>
                <c:pt idx="7">
                  <c:v>0</c:v>
                </c:pt>
                <c:pt idx="8">
                  <c:v>83</c:v>
                </c:pt>
                <c:pt idx="9">
                  <c:v>2</c:v>
                </c:pt>
                <c:pt idx="10">
                  <c:v>0</c:v>
                </c:pt>
                <c:pt idx="11">
                  <c:v>0</c:v>
                </c:pt>
                <c:pt idx="12">
                  <c:v>0</c:v>
                </c:pt>
              </c:numCache>
            </c:numRef>
          </c:val>
          <c:extLst>
            <c:ext xmlns:c16="http://schemas.microsoft.com/office/drawing/2014/chart" uri="{C3380CC4-5D6E-409C-BE32-E72D297353CC}">
              <c16:uniqueId val="{00000000-92C3-8649-BD8F-5B66144BEBEB}"/>
            </c:ext>
          </c:extLst>
        </c:ser>
        <c:ser>
          <c:idx val="1"/>
          <c:order val="1"/>
          <c:tx>
            <c:strRef>
              <c:f>'November 20, 2020'!$C$2:$C$3</c:f>
              <c:strCache>
                <c:ptCount val="2"/>
                <c:pt idx="0">
                  <c:v>Total ICU</c:v>
                </c:pt>
                <c:pt idx="1">
                  <c:v>431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C3-8649-BD8F-5B66144BEBE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20,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20, 2020'!$C$4:$C$16</c:f>
              <c:numCache>
                <c:formatCode>General</c:formatCode>
                <c:ptCount val="13"/>
                <c:pt idx="0">
                  <c:v>59</c:v>
                </c:pt>
                <c:pt idx="1">
                  <c:v>61</c:v>
                </c:pt>
                <c:pt idx="2">
                  <c:v>146</c:v>
                </c:pt>
                <c:pt idx="3">
                  <c:v>101</c:v>
                </c:pt>
                <c:pt idx="4">
                  <c:v>0</c:v>
                </c:pt>
                <c:pt idx="5">
                  <c:v>0</c:v>
                </c:pt>
                <c:pt idx="6">
                  <c:v>43</c:v>
                </c:pt>
                <c:pt idx="7">
                  <c:v>0</c:v>
                </c:pt>
                <c:pt idx="8">
                  <c:v>21</c:v>
                </c:pt>
                <c:pt idx="9">
                  <c:v>0</c:v>
                </c:pt>
                <c:pt idx="10">
                  <c:v>0</c:v>
                </c:pt>
                <c:pt idx="11">
                  <c:v>0</c:v>
                </c:pt>
                <c:pt idx="12">
                  <c:v>0</c:v>
                </c:pt>
              </c:numCache>
            </c:numRef>
          </c:val>
          <c:extLst>
            <c:ext xmlns:c16="http://schemas.microsoft.com/office/drawing/2014/chart" uri="{C3380CC4-5D6E-409C-BE32-E72D297353CC}">
              <c16:uniqueId val="{00000002-92C3-8649-BD8F-5B66144BEBEB}"/>
            </c:ext>
          </c:extLst>
        </c:ser>
        <c:dLbls>
          <c:dLblPos val="outEnd"/>
          <c:showLegendKey val="0"/>
          <c:showVal val="1"/>
          <c:showCatName val="0"/>
          <c:showSerName val="0"/>
          <c:showPercent val="0"/>
          <c:showBubbleSize val="0"/>
        </c:dLbls>
        <c:gapWidth val="100"/>
        <c:overlap val="-24"/>
        <c:axId val="514347264"/>
        <c:axId val="514355104"/>
      </c:barChart>
      <c:catAx>
        <c:axId val="51434726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55104"/>
        <c:crosses val="autoZero"/>
        <c:auto val="1"/>
        <c:lblAlgn val="ctr"/>
        <c:lblOffset val="100"/>
        <c:noMultiLvlLbl val="0"/>
      </c:catAx>
      <c:valAx>
        <c:axId val="51435510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47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2020-11-18</a:t>
            </a:r>
          </a:p>
        </c:rich>
      </c:tx>
      <c:layout>
        <c:manualLayout>
          <c:xMode val="edge"/>
          <c:yMode val="edge"/>
          <c:x val="0.10811960983779295"/>
          <c:y val="1.9209611803307765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'November 18, 2020'!$B$2:$B$3</c:f>
              <c:strCache>
                <c:ptCount val="2"/>
                <c:pt idx="0">
                  <c:v>Total Hospital</c:v>
                </c:pt>
                <c:pt idx="1">
                  <c:v>1951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18,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18, 2020'!$B$4:$B$16</c:f>
              <c:numCache>
                <c:formatCode>General</c:formatCode>
                <c:ptCount val="13"/>
                <c:pt idx="0">
                  <c:v>198</c:v>
                </c:pt>
                <c:pt idx="1">
                  <c:v>268</c:v>
                </c:pt>
                <c:pt idx="2" formatCode="0">
                  <c:v>535</c:v>
                </c:pt>
                <c:pt idx="3">
                  <c:v>638</c:v>
                </c:pt>
                <c:pt idx="4">
                  <c:v>0</c:v>
                </c:pt>
                <c:pt idx="5">
                  <c:v>0</c:v>
                </c:pt>
                <c:pt idx="6">
                  <c:v>240</c:v>
                </c:pt>
                <c:pt idx="7">
                  <c:v>0</c:v>
                </c:pt>
                <c:pt idx="8">
                  <c:v>71</c:v>
                </c:pt>
                <c:pt idx="9">
                  <c:v>1</c:v>
                </c:pt>
                <c:pt idx="10">
                  <c:v>0</c:v>
                </c:pt>
                <c:pt idx="11">
                  <c:v>0</c:v>
                </c:pt>
                <c:pt idx="12">
                  <c:v>0</c:v>
                </c:pt>
              </c:numCache>
            </c:numRef>
          </c:val>
          <c:extLst>
            <c:ext xmlns:c16="http://schemas.microsoft.com/office/drawing/2014/chart" uri="{C3380CC4-5D6E-409C-BE32-E72D297353CC}">
              <c16:uniqueId val="{00000000-3FE2-AA4D-837A-6BC17831ACEC}"/>
            </c:ext>
          </c:extLst>
        </c:ser>
        <c:ser>
          <c:idx val="1"/>
          <c:order val="1"/>
          <c:tx>
            <c:strRef>
              <c:f>'November 18, 2020'!$C$2:$C$3</c:f>
              <c:strCache>
                <c:ptCount val="2"/>
                <c:pt idx="0">
                  <c:v>Total ICU</c:v>
                </c:pt>
                <c:pt idx="1">
                  <c:v>444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FE2-AA4D-837A-6BC17831ACE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18,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18, 2020'!$C$4:$C$16</c:f>
              <c:numCache>
                <c:formatCode>General</c:formatCode>
                <c:ptCount val="13"/>
                <c:pt idx="0">
                  <c:v>63</c:v>
                </c:pt>
                <c:pt idx="1">
                  <c:v>57</c:v>
                </c:pt>
                <c:pt idx="2">
                  <c:v>127</c:v>
                </c:pt>
                <c:pt idx="3">
                  <c:v>100</c:v>
                </c:pt>
                <c:pt idx="4">
                  <c:v>0</c:v>
                </c:pt>
                <c:pt idx="5">
                  <c:v>0</c:v>
                </c:pt>
                <c:pt idx="6">
                  <c:v>41</c:v>
                </c:pt>
                <c:pt idx="7">
                  <c:v>0</c:v>
                </c:pt>
                <c:pt idx="8">
                  <c:v>56</c:v>
                </c:pt>
                <c:pt idx="9">
                  <c:v>0</c:v>
                </c:pt>
                <c:pt idx="10">
                  <c:v>0</c:v>
                </c:pt>
                <c:pt idx="11">
                  <c:v>0</c:v>
                </c:pt>
                <c:pt idx="12">
                  <c:v>0</c:v>
                </c:pt>
              </c:numCache>
            </c:numRef>
          </c:val>
          <c:extLst>
            <c:ext xmlns:c16="http://schemas.microsoft.com/office/drawing/2014/chart" uri="{C3380CC4-5D6E-409C-BE32-E72D297353CC}">
              <c16:uniqueId val="{00000002-3FE2-AA4D-837A-6BC17831ACEC}"/>
            </c:ext>
          </c:extLst>
        </c:ser>
        <c:dLbls>
          <c:dLblPos val="outEnd"/>
          <c:showLegendKey val="0"/>
          <c:showVal val="1"/>
          <c:showCatName val="0"/>
          <c:showSerName val="0"/>
          <c:showPercent val="0"/>
          <c:showBubbleSize val="0"/>
        </c:dLbls>
        <c:gapWidth val="100"/>
        <c:overlap val="-24"/>
        <c:axId val="514352360"/>
        <c:axId val="514350792"/>
      </c:barChart>
      <c:catAx>
        <c:axId val="51435236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50792"/>
        <c:crosses val="autoZero"/>
        <c:auto val="1"/>
        <c:lblAlgn val="ctr"/>
        <c:lblOffset val="100"/>
        <c:noMultiLvlLbl val="0"/>
      </c:catAx>
      <c:valAx>
        <c:axId val="51435079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52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2020-11-16</a:t>
            </a:r>
          </a:p>
        </c:rich>
      </c:tx>
      <c:layout>
        <c:manualLayout>
          <c:xMode val="edge"/>
          <c:yMode val="edge"/>
          <c:x val="0.11394046366538249"/>
          <c:y val="1.9209611803307765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'November 16, 2020'!$B$2:$B$3</c:f>
              <c:strCache>
                <c:ptCount val="2"/>
                <c:pt idx="0">
                  <c:v>Total Hospital</c:v>
                </c:pt>
                <c:pt idx="1">
                  <c:v>1783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16,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16, 2020'!$B$4:$B$16</c:f>
              <c:numCache>
                <c:formatCode>General</c:formatCode>
                <c:ptCount val="13"/>
                <c:pt idx="0">
                  <c:v>167</c:v>
                </c:pt>
                <c:pt idx="1">
                  <c:v>240</c:v>
                </c:pt>
                <c:pt idx="2" formatCode="0">
                  <c:v>500</c:v>
                </c:pt>
                <c:pt idx="3">
                  <c:v>591</c:v>
                </c:pt>
                <c:pt idx="4">
                  <c:v>0</c:v>
                </c:pt>
                <c:pt idx="5">
                  <c:v>2</c:v>
                </c:pt>
                <c:pt idx="6">
                  <c:v>220</c:v>
                </c:pt>
                <c:pt idx="7">
                  <c:v>0</c:v>
                </c:pt>
                <c:pt idx="8">
                  <c:v>62</c:v>
                </c:pt>
                <c:pt idx="9">
                  <c:v>1</c:v>
                </c:pt>
                <c:pt idx="10">
                  <c:v>0</c:v>
                </c:pt>
                <c:pt idx="11">
                  <c:v>0</c:v>
                </c:pt>
                <c:pt idx="12">
                  <c:v>0</c:v>
                </c:pt>
              </c:numCache>
            </c:numRef>
          </c:val>
          <c:extLst>
            <c:ext xmlns:c16="http://schemas.microsoft.com/office/drawing/2014/chart" uri="{C3380CC4-5D6E-409C-BE32-E72D297353CC}">
              <c16:uniqueId val="{00000000-66A9-8E43-93DF-78590CC6B874}"/>
            </c:ext>
          </c:extLst>
        </c:ser>
        <c:ser>
          <c:idx val="1"/>
          <c:order val="1"/>
          <c:tx>
            <c:strRef>
              <c:f>'November 16, 2020'!$C$2:$C$3</c:f>
              <c:strCache>
                <c:ptCount val="2"/>
                <c:pt idx="0">
                  <c:v>Total ICU</c:v>
                </c:pt>
                <c:pt idx="1">
                  <c:v>374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A9-8E43-93DF-78590CC6B87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16,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16, 2020'!$C$4:$C$16</c:f>
              <c:numCache>
                <c:formatCode>General</c:formatCode>
                <c:ptCount val="13"/>
                <c:pt idx="0">
                  <c:v>50</c:v>
                </c:pt>
                <c:pt idx="1">
                  <c:v>54</c:v>
                </c:pt>
                <c:pt idx="2">
                  <c:v>125</c:v>
                </c:pt>
                <c:pt idx="3">
                  <c:v>87</c:v>
                </c:pt>
                <c:pt idx="4">
                  <c:v>0</c:v>
                </c:pt>
                <c:pt idx="5">
                  <c:v>1</c:v>
                </c:pt>
                <c:pt idx="6">
                  <c:v>41</c:v>
                </c:pt>
                <c:pt idx="7">
                  <c:v>0</c:v>
                </c:pt>
                <c:pt idx="8">
                  <c:v>16</c:v>
                </c:pt>
                <c:pt idx="9">
                  <c:v>0</c:v>
                </c:pt>
                <c:pt idx="10">
                  <c:v>0</c:v>
                </c:pt>
                <c:pt idx="11">
                  <c:v>0</c:v>
                </c:pt>
                <c:pt idx="12">
                  <c:v>0</c:v>
                </c:pt>
              </c:numCache>
            </c:numRef>
          </c:val>
          <c:extLst>
            <c:ext xmlns:c16="http://schemas.microsoft.com/office/drawing/2014/chart" uri="{C3380CC4-5D6E-409C-BE32-E72D297353CC}">
              <c16:uniqueId val="{00000002-66A9-8E43-93DF-78590CC6B874}"/>
            </c:ext>
          </c:extLst>
        </c:ser>
        <c:dLbls>
          <c:dLblPos val="outEnd"/>
          <c:showLegendKey val="0"/>
          <c:showVal val="1"/>
          <c:showCatName val="0"/>
          <c:showSerName val="0"/>
          <c:showPercent val="0"/>
          <c:showBubbleSize val="0"/>
        </c:dLbls>
        <c:gapWidth val="100"/>
        <c:overlap val="-24"/>
        <c:axId val="514345696"/>
        <c:axId val="514346088"/>
      </c:barChart>
      <c:catAx>
        <c:axId val="51434569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46088"/>
        <c:crosses val="autoZero"/>
        <c:auto val="1"/>
        <c:lblAlgn val="ctr"/>
        <c:lblOffset val="100"/>
        <c:noMultiLvlLbl val="0"/>
      </c:catAx>
      <c:valAx>
        <c:axId val="51434608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456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2020-11-13</a:t>
            </a:r>
          </a:p>
        </c:rich>
      </c:tx>
      <c:layout>
        <c:manualLayout>
          <c:xMode val="edge"/>
          <c:yMode val="edge"/>
          <c:x val="0.11394046366538249"/>
          <c:y val="1.9209611803307765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'November 13, 2020'!$B$2:$B$3</c:f>
              <c:strCache>
                <c:ptCount val="2"/>
                <c:pt idx="0">
                  <c:v>Total Hospital</c:v>
                </c:pt>
                <c:pt idx="1">
                  <c:v>1692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13,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13, 2020'!$B$4:$B$16</c:f>
              <c:numCache>
                <c:formatCode>General</c:formatCode>
                <c:ptCount val="13"/>
                <c:pt idx="0">
                  <c:v>155</c:v>
                </c:pt>
                <c:pt idx="1">
                  <c:v>225</c:v>
                </c:pt>
                <c:pt idx="2" formatCode="0">
                  <c:v>452</c:v>
                </c:pt>
                <c:pt idx="3">
                  <c:v>583</c:v>
                </c:pt>
                <c:pt idx="4">
                  <c:v>0</c:v>
                </c:pt>
                <c:pt idx="5">
                  <c:v>1</c:v>
                </c:pt>
                <c:pt idx="6">
                  <c:v>227</c:v>
                </c:pt>
                <c:pt idx="7">
                  <c:v>0</c:v>
                </c:pt>
                <c:pt idx="8">
                  <c:v>49</c:v>
                </c:pt>
                <c:pt idx="9">
                  <c:v>0</c:v>
                </c:pt>
                <c:pt idx="10">
                  <c:v>0</c:v>
                </c:pt>
                <c:pt idx="11">
                  <c:v>0</c:v>
                </c:pt>
                <c:pt idx="12">
                  <c:v>0</c:v>
                </c:pt>
              </c:numCache>
            </c:numRef>
          </c:val>
          <c:extLst>
            <c:ext xmlns:c16="http://schemas.microsoft.com/office/drawing/2014/chart" uri="{C3380CC4-5D6E-409C-BE32-E72D297353CC}">
              <c16:uniqueId val="{00000000-5043-AB42-A4A5-B579563224DC}"/>
            </c:ext>
          </c:extLst>
        </c:ser>
        <c:ser>
          <c:idx val="1"/>
          <c:order val="1"/>
          <c:tx>
            <c:strRef>
              <c:f>'November 13, 2020'!$C$2:$C$3</c:f>
              <c:strCache>
                <c:ptCount val="2"/>
                <c:pt idx="0">
                  <c:v>Total ICU</c:v>
                </c:pt>
                <c:pt idx="1">
                  <c:v>334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043-AB42-A4A5-B579563224D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13,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13, 2020'!$C$4:$C$16</c:f>
              <c:numCache>
                <c:formatCode>General</c:formatCode>
                <c:ptCount val="13"/>
                <c:pt idx="0">
                  <c:v>44</c:v>
                </c:pt>
                <c:pt idx="1">
                  <c:v>51</c:v>
                </c:pt>
                <c:pt idx="2">
                  <c:v>106</c:v>
                </c:pt>
                <c:pt idx="3">
                  <c:v>85</c:v>
                </c:pt>
                <c:pt idx="4">
                  <c:v>0</c:v>
                </c:pt>
                <c:pt idx="5">
                  <c:v>1</c:v>
                </c:pt>
                <c:pt idx="6">
                  <c:v>34</c:v>
                </c:pt>
                <c:pt idx="7">
                  <c:v>0</c:v>
                </c:pt>
                <c:pt idx="8">
                  <c:v>13</c:v>
                </c:pt>
                <c:pt idx="9">
                  <c:v>0</c:v>
                </c:pt>
                <c:pt idx="10">
                  <c:v>0</c:v>
                </c:pt>
                <c:pt idx="11">
                  <c:v>0</c:v>
                </c:pt>
                <c:pt idx="12">
                  <c:v>0</c:v>
                </c:pt>
              </c:numCache>
            </c:numRef>
          </c:val>
          <c:extLst>
            <c:ext xmlns:c16="http://schemas.microsoft.com/office/drawing/2014/chart" uri="{C3380CC4-5D6E-409C-BE32-E72D297353CC}">
              <c16:uniqueId val="{00000002-5043-AB42-A4A5-B579563224DC}"/>
            </c:ext>
          </c:extLst>
        </c:ser>
        <c:dLbls>
          <c:dLblPos val="outEnd"/>
          <c:showLegendKey val="0"/>
          <c:showVal val="1"/>
          <c:showCatName val="0"/>
          <c:showSerName val="0"/>
          <c:showPercent val="0"/>
          <c:showBubbleSize val="0"/>
        </c:dLbls>
        <c:gapWidth val="100"/>
        <c:overlap val="-24"/>
        <c:axId val="514352752"/>
        <c:axId val="514346480"/>
      </c:barChart>
      <c:catAx>
        <c:axId val="51435275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46480"/>
        <c:crosses val="autoZero"/>
        <c:auto val="1"/>
        <c:lblAlgn val="ctr"/>
        <c:lblOffset val="100"/>
        <c:noMultiLvlLbl val="0"/>
      </c:catAx>
      <c:valAx>
        <c:axId val="5143464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52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2020-11-11</a:t>
            </a:r>
          </a:p>
        </c:rich>
      </c:tx>
      <c:layout>
        <c:manualLayout>
          <c:xMode val="edge"/>
          <c:yMode val="edge"/>
          <c:x val="0.11685089057917723"/>
          <c:y val="1.9209611803307765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'November 11, 2020'!$B$2:$B$3</c:f>
              <c:strCache>
                <c:ptCount val="2"/>
                <c:pt idx="0">
                  <c:v>Total Hospital</c:v>
                </c:pt>
                <c:pt idx="1">
                  <c:v>1558</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11,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11, 2020'!$B$4:$B$16</c:f>
              <c:numCache>
                <c:formatCode>General</c:formatCode>
                <c:ptCount val="13"/>
                <c:pt idx="0">
                  <c:v>142</c:v>
                </c:pt>
                <c:pt idx="1">
                  <c:v>207</c:v>
                </c:pt>
                <c:pt idx="2" formatCode="0">
                  <c:v>422</c:v>
                </c:pt>
                <c:pt idx="3">
                  <c:v>534</c:v>
                </c:pt>
                <c:pt idx="4">
                  <c:v>0</c:v>
                </c:pt>
                <c:pt idx="5">
                  <c:v>2</c:v>
                </c:pt>
                <c:pt idx="6">
                  <c:v>207</c:v>
                </c:pt>
                <c:pt idx="7">
                  <c:v>0</c:v>
                </c:pt>
                <c:pt idx="8">
                  <c:v>44</c:v>
                </c:pt>
                <c:pt idx="9">
                  <c:v>0</c:v>
                </c:pt>
                <c:pt idx="10">
                  <c:v>0</c:v>
                </c:pt>
                <c:pt idx="11">
                  <c:v>0</c:v>
                </c:pt>
                <c:pt idx="12">
                  <c:v>0</c:v>
                </c:pt>
              </c:numCache>
            </c:numRef>
          </c:val>
          <c:extLst>
            <c:ext xmlns:c16="http://schemas.microsoft.com/office/drawing/2014/chart" uri="{C3380CC4-5D6E-409C-BE32-E72D297353CC}">
              <c16:uniqueId val="{00000000-4ABF-A549-8BE5-16A4BD24C9A2}"/>
            </c:ext>
          </c:extLst>
        </c:ser>
        <c:ser>
          <c:idx val="1"/>
          <c:order val="1"/>
          <c:tx>
            <c:strRef>
              <c:f>'November 11, 2020'!$C$2:$C$3</c:f>
              <c:strCache>
                <c:ptCount val="2"/>
                <c:pt idx="0">
                  <c:v>Total ICU</c:v>
                </c:pt>
                <c:pt idx="1">
                  <c:v>294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ABF-A549-8BE5-16A4BD24C9A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11,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11, 2020'!$C$4:$C$16</c:f>
              <c:numCache>
                <c:formatCode>General</c:formatCode>
                <c:ptCount val="13"/>
                <c:pt idx="0">
                  <c:v>46</c:v>
                </c:pt>
                <c:pt idx="1">
                  <c:v>43</c:v>
                </c:pt>
                <c:pt idx="2">
                  <c:v>82</c:v>
                </c:pt>
                <c:pt idx="3">
                  <c:v>82</c:v>
                </c:pt>
                <c:pt idx="4">
                  <c:v>0</c:v>
                </c:pt>
                <c:pt idx="5">
                  <c:v>0</c:v>
                </c:pt>
                <c:pt idx="6">
                  <c:v>30</c:v>
                </c:pt>
                <c:pt idx="7">
                  <c:v>0</c:v>
                </c:pt>
                <c:pt idx="8">
                  <c:v>11</c:v>
                </c:pt>
                <c:pt idx="9">
                  <c:v>0</c:v>
                </c:pt>
                <c:pt idx="10">
                  <c:v>0</c:v>
                </c:pt>
                <c:pt idx="11">
                  <c:v>0</c:v>
                </c:pt>
                <c:pt idx="12">
                  <c:v>0</c:v>
                </c:pt>
              </c:numCache>
            </c:numRef>
          </c:val>
          <c:extLst>
            <c:ext xmlns:c16="http://schemas.microsoft.com/office/drawing/2014/chart" uri="{C3380CC4-5D6E-409C-BE32-E72D297353CC}">
              <c16:uniqueId val="{00000002-4ABF-A549-8BE5-16A4BD24C9A2}"/>
            </c:ext>
          </c:extLst>
        </c:ser>
        <c:dLbls>
          <c:dLblPos val="outEnd"/>
          <c:showLegendKey val="0"/>
          <c:showVal val="1"/>
          <c:showCatName val="0"/>
          <c:showSerName val="0"/>
          <c:showPercent val="0"/>
          <c:showBubbleSize val="0"/>
        </c:dLbls>
        <c:gapWidth val="100"/>
        <c:overlap val="-24"/>
        <c:axId val="514349224"/>
        <c:axId val="514351576"/>
      </c:barChart>
      <c:catAx>
        <c:axId val="51434922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51576"/>
        <c:crosses val="autoZero"/>
        <c:auto val="1"/>
        <c:lblAlgn val="ctr"/>
        <c:lblOffset val="100"/>
        <c:noMultiLvlLbl val="0"/>
      </c:catAx>
      <c:valAx>
        <c:axId val="51435157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492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2020-11-09</a:t>
            </a:r>
          </a:p>
        </c:rich>
      </c:tx>
      <c:layout>
        <c:manualLayout>
          <c:xMode val="edge"/>
          <c:yMode val="edge"/>
          <c:x val="0.11685089057917723"/>
          <c:y val="1.9209611803307765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'November 9, 2020'!$B$2:$B$3</c:f>
              <c:strCache>
                <c:ptCount val="2"/>
                <c:pt idx="0">
                  <c:v>Total Hospital</c:v>
                </c:pt>
                <c:pt idx="1">
                  <c:v>1371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9,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9, 2020'!$B$4:$B$16</c:f>
              <c:numCache>
                <c:formatCode>General</c:formatCode>
                <c:ptCount val="13"/>
                <c:pt idx="0">
                  <c:v>104</c:v>
                </c:pt>
                <c:pt idx="1">
                  <c:v>164</c:v>
                </c:pt>
                <c:pt idx="2" formatCode="0">
                  <c:v>367</c:v>
                </c:pt>
                <c:pt idx="3">
                  <c:v>540</c:v>
                </c:pt>
                <c:pt idx="4">
                  <c:v>0</c:v>
                </c:pt>
                <c:pt idx="5">
                  <c:v>2</c:v>
                </c:pt>
                <c:pt idx="6">
                  <c:v>162</c:v>
                </c:pt>
                <c:pt idx="7">
                  <c:v>0</c:v>
                </c:pt>
                <c:pt idx="8">
                  <c:v>32</c:v>
                </c:pt>
                <c:pt idx="9">
                  <c:v>0</c:v>
                </c:pt>
                <c:pt idx="10">
                  <c:v>0</c:v>
                </c:pt>
                <c:pt idx="11">
                  <c:v>0</c:v>
                </c:pt>
                <c:pt idx="12">
                  <c:v>0</c:v>
                </c:pt>
              </c:numCache>
            </c:numRef>
          </c:val>
          <c:extLst>
            <c:ext xmlns:c16="http://schemas.microsoft.com/office/drawing/2014/chart" uri="{C3380CC4-5D6E-409C-BE32-E72D297353CC}">
              <c16:uniqueId val="{00000000-63E8-2F45-9F9F-018876BD1FF3}"/>
            </c:ext>
          </c:extLst>
        </c:ser>
        <c:ser>
          <c:idx val="1"/>
          <c:order val="1"/>
          <c:tx>
            <c:strRef>
              <c:f>'November 9, 2020'!$C$2:$C$3</c:f>
              <c:strCache>
                <c:ptCount val="2"/>
                <c:pt idx="0">
                  <c:v>Total ICU</c:v>
                </c:pt>
                <c:pt idx="1">
                  <c:v>253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3E8-2F45-9F9F-018876BD1FF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9,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9, 2020'!$C$4:$C$16</c:f>
              <c:numCache>
                <c:formatCode>General</c:formatCode>
                <c:ptCount val="13"/>
                <c:pt idx="0">
                  <c:v>28</c:v>
                </c:pt>
                <c:pt idx="1">
                  <c:v>30</c:v>
                </c:pt>
                <c:pt idx="2">
                  <c:v>84</c:v>
                </c:pt>
                <c:pt idx="3">
                  <c:v>76</c:v>
                </c:pt>
                <c:pt idx="4">
                  <c:v>0</c:v>
                </c:pt>
                <c:pt idx="5">
                  <c:v>0</c:v>
                </c:pt>
                <c:pt idx="6">
                  <c:v>28</c:v>
                </c:pt>
                <c:pt idx="7">
                  <c:v>0</c:v>
                </c:pt>
                <c:pt idx="8">
                  <c:v>7</c:v>
                </c:pt>
                <c:pt idx="9">
                  <c:v>0</c:v>
                </c:pt>
                <c:pt idx="10">
                  <c:v>0</c:v>
                </c:pt>
                <c:pt idx="11">
                  <c:v>0</c:v>
                </c:pt>
                <c:pt idx="12">
                  <c:v>0</c:v>
                </c:pt>
              </c:numCache>
            </c:numRef>
          </c:val>
          <c:extLst>
            <c:ext xmlns:c16="http://schemas.microsoft.com/office/drawing/2014/chart" uri="{C3380CC4-5D6E-409C-BE32-E72D297353CC}">
              <c16:uniqueId val="{00000002-63E8-2F45-9F9F-018876BD1FF3}"/>
            </c:ext>
          </c:extLst>
        </c:ser>
        <c:dLbls>
          <c:dLblPos val="outEnd"/>
          <c:showLegendKey val="0"/>
          <c:showVal val="1"/>
          <c:showCatName val="0"/>
          <c:showSerName val="0"/>
          <c:showPercent val="0"/>
          <c:showBubbleSize val="0"/>
        </c:dLbls>
        <c:gapWidth val="100"/>
        <c:overlap val="-24"/>
        <c:axId val="514350008"/>
        <c:axId val="514353144"/>
      </c:barChart>
      <c:catAx>
        <c:axId val="51435000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53144"/>
        <c:crosses val="autoZero"/>
        <c:auto val="1"/>
        <c:lblAlgn val="ctr"/>
        <c:lblOffset val="100"/>
        <c:noMultiLvlLbl val="0"/>
      </c:catAx>
      <c:valAx>
        <c:axId val="51435314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50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2020-11-06</a:t>
            </a:r>
          </a:p>
        </c:rich>
      </c:tx>
      <c:layout>
        <c:manualLayout>
          <c:xMode val="edge"/>
          <c:yMode val="edge"/>
          <c:x val="0.11685089057917723"/>
          <c:y val="1.9209611803307765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'November 6, 2020'!$B$2:$B$3</c:f>
              <c:strCache>
                <c:ptCount val="2"/>
                <c:pt idx="0">
                  <c:v>Total Hospital</c:v>
                </c:pt>
                <c:pt idx="1">
                  <c:v>1370</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6,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6, 2020'!$B$4:$B$16</c:f>
              <c:numCache>
                <c:formatCode>General</c:formatCode>
                <c:ptCount val="13"/>
                <c:pt idx="0">
                  <c:v>97</c:v>
                </c:pt>
                <c:pt idx="1">
                  <c:v>164</c:v>
                </c:pt>
                <c:pt idx="2" formatCode="0">
                  <c:v>380</c:v>
                </c:pt>
                <c:pt idx="3">
                  <c:v>539</c:v>
                </c:pt>
                <c:pt idx="4">
                  <c:v>0</c:v>
                </c:pt>
                <c:pt idx="5">
                  <c:v>5</c:v>
                </c:pt>
                <c:pt idx="6">
                  <c:v>153</c:v>
                </c:pt>
                <c:pt idx="7">
                  <c:v>0</c:v>
                </c:pt>
                <c:pt idx="8">
                  <c:v>32</c:v>
                </c:pt>
                <c:pt idx="9">
                  <c:v>0</c:v>
                </c:pt>
                <c:pt idx="10">
                  <c:v>0</c:v>
                </c:pt>
                <c:pt idx="11">
                  <c:v>0</c:v>
                </c:pt>
                <c:pt idx="12">
                  <c:v>0</c:v>
                </c:pt>
              </c:numCache>
            </c:numRef>
          </c:val>
          <c:extLst>
            <c:ext xmlns:c16="http://schemas.microsoft.com/office/drawing/2014/chart" uri="{C3380CC4-5D6E-409C-BE32-E72D297353CC}">
              <c16:uniqueId val="{00000000-4C25-D844-B4B3-C17CC28A2FAB}"/>
            </c:ext>
          </c:extLst>
        </c:ser>
        <c:ser>
          <c:idx val="1"/>
          <c:order val="1"/>
          <c:tx>
            <c:strRef>
              <c:f>'November 6, 2020'!$C$2:$C$3</c:f>
              <c:strCache>
                <c:ptCount val="2"/>
                <c:pt idx="0">
                  <c:v>Total ICU</c:v>
                </c:pt>
                <c:pt idx="1">
                  <c:v>238</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25-D844-B4B3-C17CC28A2FA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6,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6, 2020'!$C$4:$C$16</c:f>
              <c:numCache>
                <c:formatCode>General</c:formatCode>
                <c:ptCount val="13"/>
                <c:pt idx="0">
                  <c:v>24</c:v>
                </c:pt>
                <c:pt idx="1">
                  <c:v>30</c:v>
                </c:pt>
                <c:pt idx="2">
                  <c:v>86</c:v>
                </c:pt>
                <c:pt idx="3">
                  <c:v>77</c:v>
                </c:pt>
                <c:pt idx="4">
                  <c:v>0</c:v>
                </c:pt>
                <c:pt idx="5">
                  <c:v>0</c:v>
                </c:pt>
                <c:pt idx="6">
                  <c:v>16</c:v>
                </c:pt>
                <c:pt idx="7">
                  <c:v>0</c:v>
                </c:pt>
                <c:pt idx="8">
                  <c:v>5</c:v>
                </c:pt>
                <c:pt idx="9">
                  <c:v>0</c:v>
                </c:pt>
                <c:pt idx="10">
                  <c:v>0</c:v>
                </c:pt>
                <c:pt idx="11">
                  <c:v>0</c:v>
                </c:pt>
                <c:pt idx="12">
                  <c:v>0</c:v>
                </c:pt>
              </c:numCache>
            </c:numRef>
          </c:val>
          <c:extLst>
            <c:ext xmlns:c16="http://schemas.microsoft.com/office/drawing/2014/chart" uri="{C3380CC4-5D6E-409C-BE32-E72D297353CC}">
              <c16:uniqueId val="{00000002-4C25-D844-B4B3-C17CC28A2FAB}"/>
            </c:ext>
          </c:extLst>
        </c:ser>
        <c:dLbls>
          <c:dLblPos val="outEnd"/>
          <c:showLegendKey val="0"/>
          <c:showVal val="1"/>
          <c:showCatName val="0"/>
          <c:showSerName val="0"/>
          <c:showPercent val="0"/>
          <c:showBubbleSize val="0"/>
        </c:dLbls>
        <c:gapWidth val="100"/>
        <c:overlap val="-24"/>
        <c:axId val="514356280"/>
        <c:axId val="514353536"/>
      </c:barChart>
      <c:catAx>
        <c:axId val="51435628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53536"/>
        <c:crosses val="autoZero"/>
        <c:auto val="1"/>
        <c:lblAlgn val="ctr"/>
        <c:lblOffset val="100"/>
        <c:noMultiLvlLbl val="0"/>
      </c:catAx>
      <c:valAx>
        <c:axId val="51435353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56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2022-04-08</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'April 8, 2022'!$B$2:$B$3</c:f>
              <c:strCache>
                <c:ptCount val="2"/>
                <c:pt idx="0">
                  <c:v>Total Hospital</c:v>
                </c:pt>
                <c:pt idx="1">
                  <c:v>4930</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8,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8, 2022'!$B$4:$B$16</c:f>
              <c:numCache>
                <c:formatCode>General</c:formatCode>
                <c:ptCount val="13"/>
                <c:pt idx="0">
                  <c:v>324</c:v>
                </c:pt>
                <c:pt idx="1">
                  <c:v>990</c:v>
                </c:pt>
                <c:pt idx="2" formatCode="0">
                  <c:v>1135</c:v>
                </c:pt>
                <c:pt idx="3" formatCode="#,##0">
                  <c:v>1637</c:v>
                </c:pt>
                <c:pt idx="4">
                  <c:v>57</c:v>
                </c:pt>
                <c:pt idx="5">
                  <c:v>178</c:v>
                </c:pt>
                <c:pt idx="6">
                  <c:v>141</c:v>
                </c:pt>
                <c:pt idx="7">
                  <c:v>30</c:v>
                </c:pt>
                <c:pt idx="8">
                  <c:v>354</c:v>
                </c:pt>
                <c:pt idx="9">
                  <c:v>41</c:v>
                </c:pt>
                <c:pt idx="10">
                  <c:v>8</c:v>
                </c:pt>
                <c:pt idx="11">
                  <c:v>2</c:v>
                </c:pt>
                <c:pt idx="12">
                  <c:v>33</c:v>
                </c:pt>
              </c:numCache>
            </c:numRef>
          </c:val>
          <c:extLst>
            <c:ext xmlns:c16="http://schemas.microsoft.com/office/drawing/2014/chart" uri="{C3380CC4-5D6E-409C-BE32-E72D297353CC}">
              <c16:uniqueId val="{00000000-EDA9-447A-B34A-7F5482B615D8}"/>
            </c:ext>
          </c:extLst>
        </c:ser>
        <c:ser>
          <c:idx val="1"/>
          <c:order val="1"/>
          <c:tx>
            <c:strRef>
              <c:f>'April 8, 2022'!$C$2:$C$3</c:f>
              <c:strCache>
                <c:ptCount val="2"/>
                <c:pt idx="0">
                  <c:v>Total ICU</c:v>
                </c:pt>
                <c:pt idx="1">
                  <c:v>367</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8,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8, 2022'!$C$4:$C$16</c:f>
              <c:numCache>
                <c:formatCode>General</c:formatCode>
                <c:ptCount val="13"/>
                <c:pt idx="0">
                  <c:v>38</c:v>
                </c:pt>
                <c:pt idx="1">
                  <c:v>44</c:v>
                </c:pt>
                <c:pt idx="2">
                  <c:v>166</c:v>
                </c:pt>
                <c:pt idx="3">
                  <c:v>62</c:v>
                </c:pt>
                <c:pt idx="4">
                  <c:v>9</c:v>
                </c:pt>
                <c:pt idx="5">
                  <c:v>9</c:v>
                </c:pt>
                <c:pt idx="6">
                  <c:v>11</c:v>
                </c:pt>
                <c:pt idx="7">
                  <c:v>3</c:v>
                </c:pt>
                <c:pt idx="8">
                  <c:v>20</c:v>
                </c:pt>
                <c:pt idx="9">
                  <c:v>5</c:v>
                </c:pt>
                <c:pt idx="10">
                  <c:v>0</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36152"/>
        <c:axId val="451747520"/>
      </c:barChart>
      <c:catAx>
        <c:axId val="45173615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47520"/>
        <c:crosses val="autoZero"/>
        <c:auto val="1"/>
        <c:lblAlgn val="ctr"/>
        <c:lblOffset val="100"/>
        <c:noMultiLvlLbl val="0"/>
      </c:catAx>
      <c:valAx>
        <c:axId val="45174752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36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2020-11-04</a:t>
            </a:r>
          </a:p>
        </c:rich>
      </c:tx>
      <c:layout>
        <c:manualLayout>
          <c:xMode val="edge"/>
          <c:yMode val="edge"/>
          <c:x val="0.11685089057917723"/>
          <c:y val="1.9209611803307765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'November 4, 2020'!$B$2:$B$3</c:f>
              <c:strCache>
                <c:ptCount val="2"/>
                <c:pt idx="0">
                  <c:v>Total Hospital</c:v>
                </c:pt>
                <c:pt idx="1">
                  <c:v>1346</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4,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4, 2020'!$B$4:$B$16</c:f>
              <c:numCache>
                <c:formatCode>General</c:formatCode>
                <c:ptCount val="13"/>
                <c:pt idx="0">
                  <c:v>92</c:v>
                </c:pt>
                <c:pt idx="1">
                  <c:v>164</c:v>
                </c:pt>
                <c:pt idx="2" formatCode="0">
                  <c:v>381</c:v>
                </c:pt>
                <c:pt idx="3">
                  <c:v>538</c:v>
                </c:pt>
                <c:pt idx="4">
                  <c:v>0</c:v>
                </c:pt>
                <c:pt idx="5">
                  <c:v>5</c:v>
                </c:pt>
                <c:pt idx="6">
                  <c:v>140</c:v>
                </c:pt>
                <c:pt idx="7">
                  <c:v>0</c:v>
                </c:pt>
                <c:pt idx="8">
                  <c:v>26</c:v>
                </c:pt>
                <c:pt idx="9">
                  <c:v>0</c:v>
                </c:pt>
                <c:pt idx="10">
                  <c:v>0</c:v>
                </c:pt>
                <c:pt idx="11">
                  <c:v>0</c:v>
                </c:pt>
                <c:pt idx="12">
                  <c:v>0</c:v>
                </c:pt>
              </c:numCache>
            </c:numRef>
          </c:val>
          <c:extLst>
            <c:ext xmlns:c16="http://schemas.microsoft.com/office/drawing/2014/chart" uri="{C3380CC4-5D6E-409C-BE32-E72D297353CC}">
              <c16:uniqueId val="{00000000-1B14-EB48-81EE-90F2A1373A5F}"/>
            </c:ext>
          </c:extLst>
        </c:ser>
        <c:ser>
          <c:idx val="1"/>
          <c:order val="1"/>
          <c:tx>
            <c:strRef>
              <c:f>'November 4, 2020'!$C$2:$C$3</c:f>
              <c:strCache>
                <c:ptCount val="2"/>
                <c:pt idx="0">
                  <c:v>Total ICU</c:v>
                </c:pt>
                <c:pt idx="1">
                  <c:v>248</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14-EB48-81EE-90F2A1373A5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4,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4, 2020'!$C$4:$C$16</c:f>
              <c:numCache>
                <c:formatCode>General</c:formatCode>
                <c:ptCount val="13"/>
                <c:pt idx="0">
                  <c:v>25</c:v>
                </c:pt>
                <c:pt idx="1">
                  <c:v>30</c:v>
                </c:pt>
                <c:pt idx="2">
                  <c:v>86</c:v>
                </c:pt>
                <c:pt idx="3">
                  <c:v>82</c:v>
                </c:pt>
                <c:pt idx="4">
                  <c:v>0</c:v>
                </c:pt>
                <c:pt idx="5">
                  <c:v>0</c:v>
                </c:pt>
                <c:pt idx="6">
                  <c:v>21</c:v>
                </c:pt>
                <c:pt idx="7">
                  <c:v>0</c:v>
                </c:pt>
                <c:pt idx="8">
                  <c:v>4</c:v>
                </c:pt>
                <c:pt idx="9">
                  <c:v>0</c:v>
                </c:pt>
                <c:pt idx="10">
                  <c:v>0</c:v>
                </c:pt>
                <c:pt idx="11">
                  <c:v>0</c:v>
                </c:pt>
                <c:pt idx="12">
                  <c:v>0</c:v>
                </c:pt>
              </c:numCache>
            </c:numRef>
          </c:val>
          <c:extLst>
            <c:ext xmlns:c16="http://schemas.microsoft.com/office/drawing/2014/chart" uri="{C3380CC4-5D6E-409C-BE32-E72D297353CC}">
              <c16:uniqueId val="{00000002-1B14-EB48-81EE-90F2A1373A5F}"/>
            </c:ext>
          </c:extLst>
        </c:ser>
        <c:dLbls>
          <c:dLblPos val="outEnd"/>
          <c:showLegendKey val="0"/>
          <c:showVal val="1"/>
          <c:showCatName val="0"/>
          <c:showSerName val="0"/>
          <c:showPercent val="0"/>
          <c:showBubbleSize val="0"/>
        </c:dLbls>
        <c:gapWidth val="100"/>
        <c:overlap val="-24"/>
        <c:axId val="514357456"/>
        <c:axId val="514354712"/>
      </c:barChart>
      <c:catAx>
        <c:axId val="51435745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54712"/>
        <c:crosses val="autoZero"/>
        <c:auto val="1"/>
        <c:lblAlgn val="ctr"/>
        <c:lblOffset val="100"/>
        <c:noMultiLvlLbl val="0"/>
      </c:catAx>
      <c:valAx>
        <c:axId val="51435471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57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2020-11-02</a:t>
            </a:r>
          </a:p>
        </c:rich>
      </c:tx>
      <c:layout>
        <c:manualLayout>
          <c:xMode val="edge"/>
          <c:yMode val="edge"/>
          <c:x val="0.11685089057917723"/>
          <c:y val="1.9209611803307765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'November 2, 2020'!$B$2:$B$3</c:f>
              <c:strCache>
                <c:ptCount val="2"/>
                <c:pt idx="0">
                  <c:v>Total Hospital</c:v>
                </c:pt>
                <c:pt idx="1">
                  <c:v>1208</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2,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2, 2020'!$B$4:$B$16</c:f>
              <c:numCache>
                <c:formatCode>General</c:formatCode>
                <c:ptCount val="13"/>
                <c:pt idx="0">
                  <c:v>86</c:v>
                </c:pt>
                <c:pt idx="1">
                  <c:v>140</c:v>
                </c:pt>
                <c:pt idx="2" formatCode="0">
                  <c:v>328</c:v>
                </c:pt>
                <c:pt idx="3">
                  <c:v>496</c:v>
                </c:pt>
                <c:pt idx="4">
                  <c:v>0</c:v>
                </c:pt>
                <c:pt idx="5">
                  <c:v>5</c:v>
                </c:pt>
                <c:pt idx="6">
                  <c:v>120</c:v>
                </c:pt>
                <c:pt idx="7">
                  <c:v>0</c:v>
                </c:pt>
                <c:pt idx="8">
                  <c:v>33</c:v>
                </c:pt>
                <c:pt idx="9">
                  <c:v>0</c:v>
                </c:pt>
                <c:pt idx="10">
                  <c:v>0</c:v>
                </c:pt>
                <c:pt idx="11">
                  <c:v>0</c:v>
                </c:pt>
                <c:pt idx="12">
                  <c:v>0</c:v>
                </c:pt>
              </c:numCache>
            </c:numRef>
          </c:val>
          <c:extLst>
            <c:ext xmlns:c16="http://schemas.microsoft.com/office/drawing/2014/chart" uri="{C3380CC4-5D6E-409C-BE32-E72D297353CC}">
              <c16:uniqueId val="{00000000-57B4-184E-AE57-1F19AB0CA717}"/>
            </c:ext>
          </c:extLst>
        </c:ser>
        <c:ser>
          <c:idx val="1"/>
          <c:order val="1"/>
          <c:tx>
            <c:strRef>
              <c:f>'November 2, 2020'!$C$2:$C$3</c:f>
              <c:strCache>
                <c:ptCount val="2"/>
                <c:pt idx="0">
                  <c:v>Total ICU</c:v>
                </c:pt>
                <c:pt idx="1">
                  <c:v>234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7B4-184E-AE57-1F19AB0CA71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2,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2, 2020'!$C$4:$C$16</c:f>
              <c:numCache>
                <c:formatCode>General</c:formatCode>
                <c:ptCount val="13"/>
                <c:pt idx="0">
                  <c:v>24</c:v>
                </c:pt>
                <c:pt idx="1">
                  <c:v>25</c:v>
                </c:pt>
                <c:pt idx="2">
                  <c:v>75</c:v>
                </c:pt>
                <c:pt idx="3">
                  <c:v>84</c:v>
                </c:pt>
                <c:pt idx="4">
                  <c:v>0</c:v>
                </c:pt>
                <c:pt idx="5">
                  <c:v>1</c:v>
                </c:pt>
                <c:pt idx="6">
                  <c:v>18</c:v>
                </c:pt>
                <c:pt idx="7">
                  <c:v>0</c:v>
                </c:pt>
                <c:pt idx="8">
                  <c:v>7</c:v>
                </c:pt>
                <c:pt idx="9">
                  <c:v>0</c:v>
                </c:pt>
                <c:pt idx="10">
                  <c:v>0</c:v>
                </c:pt>
                <c:pt idx="11">
                  <c:v>0</c:v>
                </c:pt>
                <c:pt idx="12">
                  <c:v>0</c:v>
                </c:pt>
              </c:numCache>
            </c:numRef>
          </c:val>
          <c:extLst>
            <c:ext xmlns:c16="http://schemas.microsoft.com/office/drawing/2014/chart" uri="{C3380CC4-5D6E-409C-BE32-E72D297353CC}">
              <c16:uniqueId val="{00000002-57B4-184E-AE57-1F19AB0CA717}"/>
            </c:ext>
          </c:extLst>
        </c:ser>
        <c:dLbls>
          <c:dLblPos val="outEnd"/>
          <c:showLegendKey val="0"/>
          <c:showVal val="1"/>
          <c:showCatName val="0"/>
          <c:showSerName val="0"/>
          <c:showPercent val="0"/>
          <c:showBubbleSize val="0"/>
        </c:dLbls>
        <c:gapWidth val="100"/>
        <c:overlap val="-24"/>
        <c:axId val="514349616"/>
        <c:axId val="514357064"/>
      </c:barChart>
      <c:catAx>
        <c:axId val="51434961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57064"/>
        <c:crosses val="autoZero"/>
        <c:auto val="1"/>
        <c:lblAlgn val="ctr"/>
        <c:lblOffset val="100"/>
        <c:noMultiLvlLbl val="0"/>
      </c:catAx>
      <c:valAx>
        <c:axId val="51435706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496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2020-10-30</a:t>
            </a:r>
          </a:p>
        </c:rich>
      </c:tx>
      <c:layout>
        <c:manualLayout>
          <c:xMode val="edge"/>
          <c:yMode val="edge"/>
          <c:x val="0.11685089057917723"/>
          <c:y val="1.9209611803307765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'October 30, 2020'!$B$2:$B$3</c:f>
              <c:strCache>
                <c:ptCount val="2"/>
                <c:pt idx="0">
                  <c:v>Total Hospital</c:v>
                </c:pt>
                <c:pt idx="1">
                  <c:v>1160</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30,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30, 2020'!$B$4:$B$16</c:f>
              <c:numCache>
                <c:formatCode>General</c:formatCode>
                <c:ptCount val="13"/>
                <c:pt idx="0">
                  <c:v>86</c:v>
                </c:pt>
                <c:pt idx="1">
                  <c:v>130</c:v>
                </c:pt>
                <c:pt idx="2" formatCode="0">
                  <c:v>314</c:v>
                </c:pt>
                <c:pt idx="3">
                  <c:v>509</c:v>
                </c:pt>
                <c:pt idx="4">
                  <c:v>0</c:v>
                </c:pt>
                <c:pt idx="5">
                  <c:v>4</c:v>
                </c:pt>
                <c:pt idx="6">
                  <c:v>97</c:v>
                </c:pt>
                <c:pt idx="7">
                  <c:v>0</c:v>
                </c:pt>
                <c:pt idx="8">
                  <c:v>20</c:v>
                </c:pt>
                <c:pt idx="9">
                  <c:v>0</c:v>
                </c:pt>
                <c:pt idx="10">
                  <c:v>0</c:v>
                </c:pt>
                <c:pt idx="11">
                  <c:v>0</c:v>
                </c:pt>
                <c:pt idx="12">
                  <c:v>0</c:v>
                </c:pt>
              </c:numCache>
            </c:numRef>
          </c:val>
          <c:extLst>
            <c:ext xmlns:c16="http://schemas.microsoft.com/office/drawing/2014/chart" uri="{C3380CC4-5D6E-409C-BE32-E72D297353CC}">
              <c16:uniqueId val="{00000000-CC04-2F48-8C84-D0B25BFCCFFC}"/>
            </c:ext>
          </c:extLst>
        </c:ser>
        <c:ser>
          <c:idx val="1"/>
          <c:order val="1"/>
          <c:tx>
            <c:strRef>
              <c:f>'October 30, 2020'!$C$2:$C$3</c:f>
              <c:strCache>
                <c:ptCount val="2"/>
                <c:pt idx="0">
                  <c:v>Total ICU</c:v>
                </c:pt>
                <c:pt idx="1">
                  <c:v>218</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04-2F48-8C84-D0B25BFCCFF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30,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30, 2020'!$C$4:$C$16</c:f>
              <c:numCache>
                <c:formatCode>General</c:formatCode>
                <c:ptCount val="13"/>
                <c:pt idx="0">
                  <c:v>24</c:v>
                </c:pt>
                <c:pt idx="1">
                  <c:v>18</c:v>
                </c:pt>
                <c:pt idx="2">
                  <c:v>75</c:v>
                </c:pt>
                <c:pt idx="3">
                  <c:v>78</c:v>
                </c:pt>
                <c:pt idx="4">
                  <c:v>0</c:v>
                </c:pt>
                <c:pt idx="5">
                  <c:v>0</c:v>
                </c:pt>
                <c:pt idx="6">
                  <c:v>17</c:v>
                </c:pt>
                <c:pt idx="7">
                  <c:v>0</c:v>
                </c:pt>
                <c:pt idx="8">
                  <c:v>6</c:v>
                </c:pt>
                <c:pt idx="9">
                  <c:v>0</c:v>
                </c:pt>
                <c:pt idx="10">
                  <c:v>0</c:v>
                </c:pt>
                <c:pt idx="11">
                  <c:v>0</c:v>
                </c:pt>
                <c:pt idx="12">
                  <c:v>0</c:v>
                </c:pt>
              </c:numCache>
            </c:numRef>
          </c:val>
          <c:extLst>
            <c:ext xmlns:c16="http://schemas.microsoft.com/office/drawing/2014/chart" uri="{C3380CC4-5D6E-409C-BE32-E72D297353CC}">
              <c16:uniqueId val="{00000002-CC04-2F48-8C84-D0B25BFCCFFC}"/>
            </c:ext>
          </c:extLst>
        </c:ser>
        <c:dLbls>
          <c:dLblPos val="outEnd"/>
          <c:showLegendKey val="0"/>
          <c:showVal val="1"/>
          <c:showCatName val="0"/>
          <c:showSerName val="0"/>
          <c:showPercent val="0"/>
          <c:showBubbleSize val="0"/>
        </c:dLbls>
        <c:gapWidth val="100"/>
        <c:overlap val="-24"/>
        <c:axId val="514347656"/>
        <c:axId val="514348048"/>
      </c:barChart>
      <c:catAx>
        <c:axId val="51434765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48048"/>
        <c:crosses val="autoZero"/>
        <c:auto val="1"/>
        <c:lblAlgn val="ctr"/>
        <c:lblOffset val="100"/>
        <c:noMultiLvlLbl val="0"/>
      </c:catAx>
      <c:valAx>
        <c:axId val="51434804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47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2020-10-28</a:t>
            </a:r>
          </a:p>
        </c:rich>
      </c:tx>
      <c:layout>
        <c:manualLayout>
          <c:xMode val="edge"/>
          <c:yMode val="edge"/>
          <c:x val="0.12849259823435627"/>
          <c:y val="2.360897109032057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'October 28, 2020'!$B$2:$B$3</c:f>
              <c:strCache>
                <c:ptCount val="2"/>
                <c:pt idx="0">
                  <c:v>Total Hospital</c:v>
                </c:pt>
                <c:pt idx="1">
                  <c:v>1162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28,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28, 2020'!$B$4:$B$16</c:f>
              <c:numCache>
                <c:formatCode>General</c:formatCode>
                <c:ptCount val="13"/>
                <c:pt idx="0">
                  <c:v>84</c:v>
                </c:pt>
                <c:pt idx="1">
                  <c:v>123</c:v>
                </c:pt>
                <c:pt idx="2" formatCode="0">
                  <c:v>312</c:v>
                </c:pt>
                <c:pt idx="3">
                  <c:v>526</c:v>
                </c:pt>
                <c:pt idx="4">
                  <c:v>0</c:v>
                </c:pt>
                <c:pt idx="5">
                  <c:v>4</c:v>
                </c:pt>
                <c:pt idx="6">
                  <c:v>89</c:v>
                </c:pt>
                <c:pt idx="7">
                  <c:v>0</c:v>
                </c:pt>
                <c:pt idx="8">
                  <c:v>24</c:v>
                </c:pt>
                <c:pt idx="9">
                  <c:v>0</c:v>
                </c:pt>
                <c:pt idx="10">
                  <c:v>0</c:v>
                </c:pt>
                <c:pt idx="11">
                  <c:v>0</c:v>
                </c:pt>
                <c:pt idx="12">
                  <c:v>0</c:v>
                </c:pt>
              </c:numCache>
            </c:numRef>
          </c:val>
          <c:extLst>
            <c:ext xmlns:c16="http://schemas.microsoft.com/office/drawing/2014/chart" uri="{C3380CC4-5D6E-409C-BE32-E72D297353CC}">
              <c16:uniqueId val="{00000000-6E3C-5143-A618-74C436245571}"/>
            </c:ext>
          </c:extLst>
        </c:ser>
        <c:ser>
          <c:idx val="1"/>
          <c:order val="1"/>
          <c:tx>
            <c:strRef>
              <c:f>'October 28, 2020'!$C$2:$C$3</c:f>
              <c:strCache>
                <c:ptCount val="2"/>
                <c:pt idx="0">
                  <c:v>Total ICU</c:v>
                </c:pt>
                <c:pt idx="1">
                  <c:v>228</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E3C-5143-A618-74C43624557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28,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28, 2020'!$C$4:$C$16</c:f>
              <c:numCache>
                <c:formatCode>General</c:formatCode>
                <c:ptCount val="13"/>
                <c:pt idx="0">
                  <c:v>27</c:v>
                </c:pt>
                <c:pt idx="1">
                  <c:v>16</c:v>
                </c:pt>
                <c:pt idx="2">
                  <c:v>71</c:v>
                </c:pt>
                <c:pt idx="3">
                  <c:v>89</c:v>
                </c:pt>
                <c:pt idx="4">
                  <c:v>0</c:v>
                </c:pt>
                <c:pt idx="5">
                  <c:v>0</c:v>
                </c:pt>
                <c:pt idx="6">
                  <c:v>19</c:v>
                </c:pt>
                <c:pt idx="7">
                  <c:v>0</c:v>
                </c:pt>
                <c:pt idx="8">
                  <c:v>6</c:v>
                </c:pt>
                <c:pt idx="9">
                  <c:v>0</c:v>
                </c:pt>
                <c:pt idx="10">
                  <c:v>0</c:v>
                </c:pt>
                <c:pt idx="11">
                  <c:v>0</c:v>
                </c:pt>
                <c:pt idx="12">
                  <c:v>0</c:v>
                </c:pt>
              </c:numCache>
            </c:numRef>
          </c:val>
          <c:extLst>
            <c:ext xmlns:c16="http://schemas.microsoft.com/office/drawing/2014/chart" uri="{C3380CC4-5D6E-409C-BE32-E72D297353CC}">
              <c16:uniqueId val="{00000002-6E3C-5143-A618-74C436245571}"/>
            </c:ext>
          </c:extLst>
        </c:ser>
        <c:dLbls>
          <c:dLblPos val="outEnd"/>
          <c:showLegendKey val="0"/>
          <c:showVal val="1"/>
          <c:showCatName val="0"/>
          <c:showSerName val="0"/>
          <c:showPercent val="0"/>
          <c:showBubbleSize val="0"/>
        </c:dLbls>
        <c:gapWidth val="100"/>
        <c:overlap val="-24"/>
        <c:axId val="514348832"/>
        <c:axId val="514357848"/>
      </c:barChart>
      <c:catAx>
        <c:axId val="51434883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57848"/>
        <c:crosses val="autoZero"/>
        <c:auto val="1"/>
        <c:lblAlgn val="ctr"/>
        <c:lblOffset val="100"/>
        <c:noMultiLvlLbl val="0"/>
      </c:catAx>
      <c:valAx>
        <c:axId val="51435784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488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2020-10-26</a:t>
            </a:r>
          </a:p>
        </c:rich>
      </c:tx>
      <c:layout>
        <c:manualLayout>
          <c:xMode val="edge"/>
          <c:yMode val="edge"/>
          <c:x val="0.12849259823435627"/>
          <c:y val="2.360897109032057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'October 26, 2020'!$B$2:$B$3</c:f>
              <c:strCache>
                <c:ptCount val="2"/>
                <c:pt idx="0">
                  <c:v>Total Hospital</c:v>
                </c:pt>
                <c:pt idx="1">
                  <c:v>1042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26,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26, 2020'!$B$4:$B$16</c:f>
              <c:numCache>
                <c:formatCode>General</c:formatCode>
                <c:ptCount val="13"/>
                <c:pt idx="0">
                  <c:v>75</c:v>
                </c:pt>
                <c:pt idx="1">
                  <c:v>112</c:v>
                </c:pt>
                <c:pt idx="2" formatCode="0">
                  <c:v>295</c:v>
                </c:pt>
                <c:pt idx="3">
                  <c:v>454</c:v>
                </c:pt>
                <c:pt idx="4">
                  <c:v>0</c:v>
                </c:pt>
                <c:pt idx="5">
                  <c:v>4</c:v>
                </c:pt>
                <c:pt idx="6">
                  <c:v>77</c:v>
                </c:pt>
                <c:pt idx="7">
                  <c:v>0</c:v>
                </c:pt>
                <c:pt idx="8">
                  <c:v>25</c:v>
                </c:pt>
                <c:pt idx="9">
                  <c:v>0</c:v>
                </c:pt>
                <c:pt idx="10">
                  <c:v>0</c:v>
                </c:pt>
                <c:pt idx="11">
                  <c:v>0</c:v>
                </c:pt>
                <c:pt idx="12">
                  <c:v>0</c:v>
                </c:pt>
              </c:numCache>
            </c:numRef>
          </c:val>
          <c:extLst>
            <c:ext xmlns:c16="http://schemas.microsoft.com/office/drawing/2014/chart" uri="{C3380CC4-5D6E-409C-BE32-E72D297353CC}">
              <c16:uniqueId val="{00000000-DC9F-F444-BDB1-85574CBE375D}"/>
            </c:ext>
          </c:extLst>
        </c:ser>
        <c:ser>
          <c:idx val="1"/>
          <c:order val="1"/>
          <c:tx>
            <c:strRef>
              <c:f>'October 26, 2020'!$C$2:$C$3</c:f>
              <c:strCache>
                <c:ptCount val="2"/>
                <c:pt idx="0">
                  <c:v>Total ICU</c:v>
                </c:pt>
                <c:pt idx="1">
                  <c:v>232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C9F-F444-BDB1-85574CBE375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26,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26, 2020'!$C$4:$C$16</c:f>
              <c:numCache>
                <c:formatCode>General</c:formatCode>
                <c:ptCount val="13"/>
                <c:pt idx="0">
                  <c:v>24</c:v>
                </c:pt>
                <c:pt idx="1">
                  <c:v>14</c:v>
                </c:pt>
                <c:pt idx="2">
                  <c:v>78</c:v>
                </c:pt>
                <c:pt idx="3">
                  <c:v>97</c:v>
                </c:pt>
                <c:pt idx="4">
                  <c:v>0</c:v>
                </c:pt>
                <c:pt idx="5">
                  <c:v>0</c:v>
                </c:pt>
                <c:pt idx="6">
                  <c:v>15</c:v>
                </c:pt>
                <c:pt idx="7">
                  <c:v>0</c:v>
                </c:pt>
                <c:pt idx="8">
                  <c:v>4</c:v>
                </c:pt>
                <c:pt idx="9">
                  <c:v>0</c:v>
                </c:pt>
                <c:pt idx="10">
                  <c:v>0</c:v>
                </c:pt>
                <c:pt idx="11">
                  <c:v>0</c:v>
                </c:pt>
                <c:pt idx="12">
                  <c:v>0</c:v>
                </c:pt>
              </c:numCache>
            </c:numRef>
          </c:val>
          <c:extLst>
            <c:ext xmlns:c16="http://schemas.microsoft.com/office/drawing/2014/chart" uri="{C3380CC4-5D6E-409C-BE32-E72D297353CC}">
              <c16:uniqueId val="{00000002-DC9F-F444-BDB1-85574CBE375D}"/>
            </c:ext>
          </c:extLst>
        </c:ser>
        <c:dLbls>
          <c:dLblPos val="outEnd"/>
          <c:showLegendKey val="0"/>
          <c:showVal val="1"/>
          <c:showCatName val="0"/>
          <c:showSerName val="0"/>
          <c:showPercent val="0"/>
          <c:showBubbleSize val="0"/>
        </c:dLbls>
        <c:gapWidth val="100"/>
        <c:overlap val="-24"/>
        <c:axId val="514362552"/>
        <c:axId val="514360984"/>
      </c:barChart>
      <c:catAx>
        <c:axId val="51436255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60984"/>
        <c:crosses val="autoZero"/>
        <c:auto val="1"/>
        <c:lblAlgn val="ctr"/>
        <c:lblOffset val="100"/>
        <c:noMultiLvlLbl val="0"/>
      </c:catAx>
      <c:valAx>
        <c:axId val="51436098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62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2020-10-23</a:t>
            </a:r>
          </a:p>
        </c:rich>
      </c:tx>
      <c:layout>
        <c:manualLayout>
          <c:xMode val="edge"/>
          <c:yMode val="edge"/>
          <c:x val="0.12849259823435627"/>
          <c:y val="2.360897109032057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'October 23, 2020'!$B$2:$B$3</c:f>
              <c:strCache>
                <c:ptCount val="2"/>
                <c:pt idx="0">
                  <c:v>Total Hospital</c:v>
                </c:pt>
                <c:pt idx="1">
                  <c:v>973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23,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23, 2020'!$B$4:$B$16</c:f>
              <c:numCache>
                <c:formatCode>General</c:formatCode>
                <c:ptCount val="13"/>
                <c:pt idx="0">
                  <c:v>71</c:v>
                </c:pt>
                <c:pt idx="1">
                  <c:v>112</c:v>
                </c:pt>
                <c:pt idx="2" formatCode="0">
                  <c:v>270</c:v>
                </c:pt>
                <c:pt idx="3">
                  <c:v>452</c:v>
                </c:pt>
                <c:pt idx="4">
                  <c:v>0</c:v>
                </c:pt>
                <c:pt idx="5">
                  <c:v>5</c:v>
                </c:pt>
                <c:pt idx="6">
                  <c:v>42</c:v>
                </c:pt>
                <c:pt idx="7">
                  <c:v>0</c:v>
                </c:pt>
                <c:pt idx="8">
                  <c:v>21</c:v>
                </c:pt>
                <c:pt idx="9">
                  <c:v>0</c:v>
                </c:pt>
                <c:pt idx="10">
                  <c:v>0</c:v>
                </c:pt>
                <c:pt idx="11">
                  <c:v>0</c:v>
                </c:pt>
                <c:pt idx="12">
                  <c:v>0</c:v>
                </c:pt>
              </c:numCache>
            </c:numRef>
          </c:val>
          <c:extLst>
            <c:ext xmlns:c16="http://schemas.microsoft.com/office/drawing/2014/chart" uri="{C3380CC4-5D6E-409C-BE32-E72D297353CC}">
              <c16:uniqueId val="{00000000-61B4-074B-9EF2-9795C2DEBCA8}"/>
            </c:ext>
          </c:extLst>
        </c:ser>
        <c:ser>
          <c:idx val="1"/>
          <c:order val="1"/>
          <c:tx>
            <c:strRef>
              <c:f>'October 23, 2020'!$C$2:$C$3</c:f>
              <c:strCache>
                <c:ptCount val="2"/>
                <c:pt idx="0">
                  <c:v>Total ICU</c:v>
                </c:pt>
                <c:pt idx="1">
                  <c:v>229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B4-074B-9EF2-9795C2DEBCA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23,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23, 2020'!$C$4:$C$16</c:f>
              <c:numCache>
                <c:formatCode>General</c:formatCode>
                <c:ptCount val="13"/>
                <c:pt idx="0">
                  <c:v>24</c:v>
                </c:pt>
                <c:pt idx="1">
                  <c:v>18</c:v>
                </c:pt>
                <c:pt idx="2">
                  <c:v>74</c:v>
                </c:pt>
                <c:pt idx="3">
                  <c:v>101</c:v>
                </c:pt>
                <c:pt idx="4">
                  <c:v>0</c:v>
                </c:pt>
                <c:pt idx="5">
                  <c:v>1</c:v>
                </c:pt>
                <c:pt idx="6">
                  <c:v>8</c:v>
                </c:pt>
                <c:pt idx="7">
                  <c:v>0</c:v>
                </c:pt>
                <c:pt idx="8">
                  <c:v>3</c:v>
                </c:pt>
                <c:pt idx="9">
                  <c:v>0</c:v>
                </c:pt>
                <c:pt idx="10">
                  <c:v>0</c:v>
                </c:pt>
                <c:pt idx="11">
                  <c:v>0</c:v>
                </c:pt>
                <c:pt idx="12">
                  <c:v>0</c:v>
                </c:pt>
              </c:numCache>
            </c:numRef>
          </c:val>
          <c:extLst>
            <c:ext xmlns:c16="http://schemas.microsoft.com/office/drawing/2014/chart" uri="{C3380CC4-5D6E-409C-BE32-E72D297353CC}">
              <c16:uniqueId val="{00000002-61B4-074B-9EF2-9795C2DEBCA8}"/>
            </c:ext>
          </c:extLst>
        </c:ser>
        <c:dLbls>
          <c:dLblPos val="outEnd"/>
          <c:showLegendKey val="0"/>
          <c:showVal val="1"/>
          <c:showCatName val="0"/>
          <c:showSerName val="0"/>
          <c:showPercent val="0"/>
          <c:showBubbleSize val="0"/>
        </c:dLbls>
        <c:gapWidth val="100"/>
        <c:overlap val="-24"/>
        <c:axId val="514358632"/>
        <c:axId val="514359416"/>
      </c:barChart>
      <c:catAx>
        <c:axId val="51435863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59416"/>
        <c:crosses val="autoZero"/>
        <c:auto val="1"/>
        <c:lblAlgn val="ctr"/>
        <c:lblOffset val="100"/>
        <c:noMultiLvlLbl val="0"/>
      </c:catAx>
      <c:valAx>
        <c:axId val="51435941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58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2020-10-21</a:t>
            </a:r>
          </a:p>
        </c:rich>
      </c:tx>
      <c:layout>
        <c:manualLayout>
          <c:xMode val="edge"/>
          <c:yMode val="edge"/>
          <c:x val="0.12849259823435627"/>
          <c:y val="2.360897109032057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'October 21, 2020'!$B$2:$B$3</c:f>
              <c:strCache>
                <c:ptCount val="2"/>
                <c:pt idx="0">
                  <c:v>Total Hospital</c:v>
                </c:pt>
                <c:pt idx="1">
                  <c:v>977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21,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21, 2020'!$B$4:$B$16</c:f>
              <c:numCache>
                <c:formatCode>General</c:formatCode>
                <c:ptCount val="13"/>
                <c:pt idx="0">
                  <c:v>69</c:v>
                </c:pt>
                <c:pt idx="1">
                  <c:v>116</c:v>
                </c:pt>
                <c:pt idx="2" formatCode="0">
                  <c:v>274</c:v>
                </c:pt>
                <c:pt idx="3">
                  <c:v>465</c:v>
                </c:pt>
                <c:pt idx="4">
                  <c:v>0</c:v>
                </c:pt>
                <c:pt idx="5">
                  <c:v>3</c:v>
                </c:pt>
                <c:pt idx="6">
                  <c:v>32</c:v>
                </c:pt>
                <c:pt idx="7">
                  <c:v>0</c:v>
                </c:pt>
                <c:pt idx="8">
                  <c:v>18</c:v>
                </c:pt>
                <c:pt idx="9">
                  <c:v>0</c:v>
                </c:pt>
                <c:pt idx="10">
                  <c:v>0</c:v>
                </c:pt>
                <c:pt idx="11">
                  <c:v>0</c:v>
                </c:pt>
                <c:pt idx="12">
                  <c:v>0</c:v>
                </c:pt>
              </c:numCache>
            </c:numRef>
          </c:val>
          <c:extLst>
            <c:ext xmlns:c16="http://schemas.microsoft.com/office/drawing/2014/chart" uri="{C3380CC4-5D6E-409C-BE32-E72D297353CC}">
              <c16:uniqueId val="{00000000-3A0C-5540-A40D-3E174999DB14}"/>
            </c:ext>
          </c:extLst>
        </c:ser>
        <c:ser>
          <c:idx val="1"/>
          <c:order val="1"/>
          <c:tx>
            <c:strRef>
              <c:f>'October 21, 2020'!$C$2:$C$3</c:f>
              <c:strCache>
                <c:ptCount val="2"/>
                <c:pt idx="0">
                  <c:v>Total ICU</c:v>
                </c:pt>
                <c:pt idx="1">
                  <c:v>215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A0C-5540-A40D-3E174999DB1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21,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21, 2020'!$C$4:$C$16</c:f>
              <c:numCache>
                <c:formatCode>General</c:formatCode>
                <c:ptCount val="13"/>
                <c:pt idx="0">
                  <c:v>18</c:v>
                </c:pt>
                <c:pt idx="1">
                  <c:v>16</c:v>
                </c:pt>
                <c:pt idx="2">
                  <c:v>72</c:v>
                </c:pt>
                <c:pt idx="3">
                  <c:v>100</c:v>
                </c:pt>
                <c:pt idx="4">
                  <c:v>0</c:v>
                </c:pt>
                <c:pt idx="5">
                  <c:v>1</c:v>
                </c:pt>
                <c:pt idx="6">
                  <c:v>6</c:v>
                </c:pt>
                <c:pt idx="7">
                  <c:v>0</c:v>
                </c:pt>
                <c:pt idx="8">
                  <c:v>2</c:v>
                </c:pt>
                <c:pt idx="9">
                  <c:v>0</c:v>
                </c:pt>
                <c:pt idx="10">
                  <c:v>0</c:v>
                </c:pt>
                <c:pt idx="11">
                  <c:v>0</c:v>
                </c:pt>
                <c:pt idx="12">
                  <c:v>0</c:v>
                </c:pt>
              </c:numCache>
            </c:numRef>
          </c:val>
          <c:extLst>
            <c:ext xmlns:c16="http://schemas.microsoft.com/office/drawing/2014/chart" uri="{C3380CC4-5D6E-409C-BE32-E72D297353CC}">
              <c16:uniqueId val="{00000002-3A0C-5540-A40D-3E174999DB14}"/>
            </c:ext>
          </c:extLst>
        </c:ser>
        <c:dLbls>
          <c:dLblPos val="outEnd"/>
          <c:showLegendKey val="0"/>
          <c:showVal val="1"/>
          <c:showCatName val="0"/>
          <c:showSerName val="0"/>
          <c:showPercent val="0"/>
          <c:showBubbleSize val="0"/>
        </c:dLbls>
        <c:gapWidth val="100"/>
        <c:overlap val="-24"/>
        <c:axId val="514360200"/>
        <c:axId val="514359808"/>
      </c:barChart>
      <c:catAx>
        <c:axId val="51436020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59808"/>
        <c:crosses val="autoZero"/>
        <c:auto val="1"/>
        <c:lblAlgn val="ctr"/>
        <c:lblOffset val="100"/>
        <c:noMultiLvlLbl val="0"/>
      </c:catAx>
      <c:valAx>
        <c:axId val="51435980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60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2020-10-19</a:t>
            </a:r>
          </a:p>
        </c:rich>
      </c:tx>
      <c:layout>
        <c:manualLayout>
          <c:xMode val="edge"/>
          <c:yMode val="edge"/>
          <c:x val="0.13431345206194581"/>
          <c:y val="2.360897109032057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'October 19, 2020'!$B$2:$B$3</c:f>
              <c:strCache>
                <c:ptCount val="2"/>
                <c:pt idx="0">
                  <c:v>Total Hospital</c:v>
                </c:pt>
                <c:pt idx="1">
                  <c:v>919</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19,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19, 2020'!$B$4:$B$16</c:f>
              <c:numCache>
                <c:formatCode>General</c:formatCode>
                <c:ptCount val="13"/>
                <c:pt idx="0">
                  <c:v>72</c:v>
                </c:pt>
                <c:pt idx="1">
                  <c:v>117</c:v>
                </c:pt>
                <c:pt idx="2" formatCode="0">
                  <c:v>247</c:v>
                </c:pt>
                <c:pt idx="3">
                  <c:v>439</c:v>
                </c:pt>
                <c:pt idx="4">
                  <c:v>0</c:v>
                </c:pt>
                <c:pt idx="5">
                  <c:v>3</c:v>
                </c:pt>
                <c:pt idx="6">
                  <c:v>29</c:v>
                </c:pt>
                <c:pt idx="7">
                  <c:v>0</c:v>
                </c:pt>
                <c:pt idx="8">
                  <c:v>12</c:v>
                </c:pt>
                <c:pt idx="9">
                  <c:v>0</c:v>
                </c:pt>
                <c:pt idx="10">
                  <c:v>0</c:v>
                </c:pt>
                <c:pt idx="11">
                  <c:v>0</c:v>
                </c:pt>
                <c:pt idx="12">
                  <c:v>0</c:v>
                </c:pt>
              </c:numCache>
            </c:numRef>
          </c:val>
          <c:extLst>
            <c:ext xmlns:c16="http://schemas.microsoft.com/office/drawing/2014/chart" uri="{C3380CC4-5D6E-409C-BE32-E72D297353CC}">
              <c16:uniqueId val="{00000000-81EF-3D4B-8CD8-2E974BF46D47}"/>
            </c:ext>
          </c:extLst>
        </c:ser>
        <c:ser>
          <c:idx val="1"/>
          <c:order val="1"/>
          <c:tx>
            <c:strRef>
              <c:f>'October 19, 2020'!$C$2:$C$3</c:f>
              <c:strCache>
                <c:ptCount val="2"/>
                <c:pt idx="0">
                  <c:v>Total ICU</c:v>
                </c:pt>
                <c:pt idx="1">
                  <c:v>205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EF-3D4B-8CD8-2E974BF46D4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19,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19, 2020'!$C$4:$C$16</c:f>
              <c:numCache>
                <c:formatCode>General</c:formatCode>
                <c:ptCount val="13"/>
                <c:pt idx="0">
                  <c:v>26</c:v>
                </c:pt>
                <c:pt idx="1">
                  <c:v>11</c:v>
                </c:pt>
                <c:pt idx="2">
                  <c:v>71</c:v>
                </c:pt>
                <c:pt idx="3">
                  <c:v>88</c:v>
                </c:pt>
                <c:pt idx="4">
                  <c:v>0</c:v>
                </c:pt>
                <c:pt idx="5">
                  <c:v>1</c:v>
                </c:pt>
                <c:pt idx="6">
                  <c:v>6</c:v>
                </c:pt>
                <c:pt idx="7">
                  <c:v>0</c:v>
                </c:pt>
                <c:pt idx="8">
                  <c:v>2</c:v>
                </c:pt>
                <c:pt idx="9">
                  <c:v>0</c:v>
                </c:pt>
                <c:pt idx="10">
                  <c:v>0</c:v>
                </c:pt>
                <c:pt idx="11">
                  <c:v>0</c:v>
                </c:pt>
                <c:pt idx="12">
                  <c:v>0</c:v>
                </c:pt>
              </c:numCache>
            </c:numRef>
          </c:val>
          <c:extLst>
            <c:ext xmlns:c16="http://schemas.microsoft.com/office/drawing/2014/chart" uri="{C3380CC4-5D6E-409C-BE32-E72D297353CC}">
              <c16:uniqueId val="{00000002-81EF-3D4B-8CD8-2E974BF46D47}"/>
            </c:ext>
          </c:extLst>
        </c:ser>
        <c:dLbls>
          <c:dLblPos val="outEnd"/>
          <c:showLegendKey val="0"/>
          <c:showVal val="1"/>
          <c:showCatName val="0"/>
          <c:showSerName val="0"/>
          <c:showPercent val="0"/>
          <c:showBubbleSize val="0"/>
        </c:dLbls>
        <c:gapWidth val="100"/>
        <c:overlap val="-24"/>
        <c:axId val="514361768"/>
        <c:axId val="514361376"/>
      </c:barChart>
      <c:catAx>
        <c:axId val="5143617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61376"/>
        <c:crosses val="autoZero"/>
        <c:auto val="1"/>
        <c:lblAlgn val="ctr"/>
        <c:lblOffset val="100"/>
        <c:noMultiLvlLbl val="0"/>
      </c:catAx>
      <c:valAx>
        <c:axId val="51436137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61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2020-10-15</a:t>
            </a:r>
          </a:p>
        </c:rich>
      </c:tx>
      <c:layout>
        <c:manualLayout>
          <c:xMode val="edge"/>
          <c:yMode val="edge"/>
          <c:x val="0.13431345206194581"/>
          <c:y val="2.360897109032057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'October 15, 2020'!$B$2:$B$3</c:f>
              <c:strCache>
                <c:ptCount val="2"/>
                <c:pt idx="0">
                  <c:v>Total Hospital</c:v>
                </c:pt>
                <c:pt idx="1">
                  <c:v>861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15,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15, 2020'!$B$4:$B$16</c:f>
              <c:numCache>
                <c:formatCode>General</c:formatCode>
                <c:ptCount val="13"/>
                <c:pt idx="0">
                  <c:v>84</c:v>
                </c:pt>
                <c:pt idx="1">
                  <c:v>100</c:v>
                </c:pt>
                <c:pt idx="2" formatCode="0">
                  <c:v>231</c:v>
                </c:pt>
                <c:pt idx="3">
                  <c:v>408</c:v>
                </c:pt>
                <c:pt idx="4">
                  <c:v>0</c:v>
                </c:pt>
                <c:pt idx="5">
                  <c:v>5</c:v>
                </c:pt>
                <c:pt idx="6">
                  <c:v>27</c:v>
                </c:pt>
                <c:pt idx="7">
                  <c:v>0</c:v>
                </c:pt>
                <c:pt idx="8">
                  <c:v>6</c:v>
                </c:pt>
                <c:pt idx="9">
                  <c:v>0</c:v>
                </c:pt>
                <c:pt idx="10">
                  <c:v>0</c:v>
                </c:pt>
                <c:pt idx="11">
                  <c:v>0</c:v>
                </c:pt>
                <c:pt idx="12">
                  <c:v>0</c:v>
                </c:pt>
              </c:numCache>
            </c:numRef>
          </c:val>
          <c:extLst>
            <c:ext xmlns:c16="http://schemas.microsoft.com/office/drawing/2014/chart" uri="{C3380CC4-5D6E-409C-BE32-E72D297353CC}">
              <c16:uniqueId val="{00000000-A4FC-C84B-8FEE-9C84C0356811}"/>
            </c:ext>
          </c:extLst>
        </c:ser>
        <c:ser>
          <c:idx val="1"/>
          <c:order val="1"/>
          <c:tx>
            <c:strRef>
              <c:f>'October 15, 2020'!$C$2:$C$3</c:f>
              <c:strCache>
                <c:ptCount val="2"/>
                <c:pt idx="0">
                  <c:v>Total ICU</c:v>
                </c:pt>
                <c:pt idx="1">
                  <c:v>188</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4FC-C84B-8FEE-9C84C035681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15,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15, 2020'!$C$4:$C$16</c:f>
              <c:numCache>
                <c:formatCode>General</c:formatCode>
                <c:ptCount val="13"/>
                <c:pt idx="0">
                  <c:v>24</c:v>
                </c:pt>
                <c:pt idx="1">
                  <c:v>14</c:v>
                </c:pt>
                <c:pt idx="2">
                  <c:v>64</c:v>
                </c:pt>
                <c:pt idx="3">
                  <c:v>80</c:v>
                </c:pt>
                <c:pt idx="4">
                  <c:v>1</c:v>
                </c:pt>
                <c:pt idx="5">
                  <c:v>1</c:v>
                </c:pt>
                <c:pt idx="6">
                  <c:v>3</c:v>
                </c:pt>
                <c:pt idx="7">
                  <c:v>0</c:v>
                </c:pt>
                <c:pt idx="8">
                  <c:v>1</c:v>
                </c:pt>
                <c:pt idx="9">
                  <c:v>0</c:v>
                </c:pt>
                <c:pt idx="10">
                  <c:v>0</c:v>
                </c:pt>
                <c:pt idx="11">
                  <c:v>0</c:v>
                </c:pt>
                <c:pt idx="12">
                  <c:v>0</c:v>
                </c:pt>
              </c:numCache>
            </c:numRef>
          </c:val>
          <c:extLst>
            <c:ext xmlns:c16="http://schemas.microsoft.com/office/drawing/2014/chart" uri="{C3380CC4-5D6E-409C-BE32-E72D297353CC}">
              <c16:uniqueId val="{00000002-A4FC-C84B-8FEE-9C84C0356811}"/>
            </c:ext>
          </c:extLst>
        </c:ser>
        <c:dLbls>
          <c:dLblPos val="outEnd"/>
          <c:showLegendKey val="0"/>
          <c:showVal val="1"/>
          <c:showCatName val="0"/>
          <c:showSerName val="0"/>
          <c:showPercent val="0"/>
          <c:showBubbleSize val="0"/>
        </c:dLbls>
        <c:gapWidth val="100"/>
        <c:overlap val="-24"/>
        <c:axId val="514238288"/>
        <c:axId val="514241424"/>
      </c:barChart>
      <c:catAx>
        <c:axId val="51423828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41424"/>
        <c:crosses val="autoZero"/>
        <c:auto val="1"/>
        <c:lblAlgn val="ctr"/>
        <c:lblOffset val="100"/>
        <c:noMultiLvlLbl val="0"/>
      </c:catAx>
      <c:valAx>
        <c:axId val="51424142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38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2020-10-13</a:t>
            </a:r>
          </a:p>
        </c:rich>
      </c:tx>
      <c:layout>
        <c:manualLayout>
          <c:xMode val="edge"/>
          <c:yMode val="edge"/>
          <c:x val="0.13431345206194581"/>
          <c:y val="2.360897109032057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'October 13, 2020'!$B$2:$B$3</c:f>
              <c:strCache>
                <c:ptCount val="2"/>
                <c:pt idx="0">
                  <c:v>Total Hospital</c:v>
                </c:pt>
                <c:pt idx="1">
                  <c:v>803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13,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13, 2020'!$B$4:$B$16</c:f>
              <c:numCache>
                <c:formatCode>General</c:formatCode>
                <c:ptCount val="13"/>
                <c:pt idx="0">
                  <c:v>68</c:v>
                </c:pt>
                <c:pt idx="1">
                  <c:v>86</c:v>
                </c:pt>
                <c:pt idx="2" formatCode="0">
                  <c:v>230</c:v>
                </c:pt>
                <c:pt idx="3">
                  <c:v>382</c:v>
                </c:pt>
                <c:pt idx="4">
                  <c:v>0</c:v>
                </c:pt>
                <c:pt idx="5">
                  <c:v>5</c:v>
                </c:pt>
                <c:pt idx="6">
                  <c:v>25</c:v>
                </c:pt>
                <c:pt idx="7">
                  <c:v>0</c:v>
                </c:pt>
                <c:pt idx="8">
                  <c:v>7</c:v>
                </c:pt>
                <c:pt idx="9">
                  <c:v>0</c:v>
                </c:pt>
                <c:pt idx="10">
                  <c:v>0</c:v>
                </c:pt>
                <c:pt idx="11">
                  <c:v>0</c:v>
                </c:pt>
                <c:pt idx="12">
                  <c:v>0</c:v>
                </c:pt>
              </c:numCache>
            </c:numRef>
          </c:val>
          <c:extLst>
            <c:ext xmlns:c16="http://schemas.microsoft.com/office/drawing/2014/chart" uri="{C3380CC4-5D6E-409C-BE32-E72D297353CC}">
              <c16:uniqueId val="{00000000-BF3D-C74D-AC6F-D519D6D2ACFC}"/>
            </c:ext>
          </c:extLst>
        </c:ser>
        <c:ser>
          <c:idx val="1"/>
          <c:order val="1"/>
          <c:tx>
            <c:strRef>
              <c:f>'October 13, 2020'!$C$2:$C$3</c:f>
              <c:strCache>
                <c:ptCount val="2"/>
                <c:pt idx="0">
                  <c:v>Total ICU</c:v>
                </c:pt>
                <c:pt idx="1">
                  <c:v>172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3D-C74D-AC6F-D519D6D2ACF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13,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13, 2020'!$C$4:$C$16</c:f>
              <c:numCache>
                <c:formatCode>General</c:formatCode>
                <c:ptCount val="13"/>
                <c:pt idx="0">
                  <c:v>19</c:v>
                </c:pt>
                <c:pt idx="1">
                  <c:v>11</c:v>
                </c:pt>
                <c:pt idx="2">
                  <c:v>60</c:v>
                </c:pt>
                <c:pt idx="3">
                  <c:v>75</c:v>
                </c:pt>
                <c:pt idx="4">
                  <c:v>1</c:v>
                </c:pt>
                <c:pt idx="5">
                  <c:v>1</c:v>
                </c:pt>
                <c:pt idx="6">
                  <c:v>4</c:v>
                </c:pt>
                <c:pt idx="7">
                  <c:v>0</c:v>
                </c:pt>
                <c:pt idx="8">
                  <c:v>1</c:v>
                </c:pt>
                <c:pt idx="9">
                  <c:v>0</c:v>
                </c:pt>
                <c:pt idx="10">
                  <c:v>0</c:v>
                </c:pt>
                <c:pt idx="11">
                  <c:v>0</c:v>
                </c:pt>
                <c:pt idx="12">
                  <c:v>0</c:v>
                </c:pt>
              </c:numCache>
            </c:numRef>
          </c:val>
          <c:extLst>
            <c:ext xmlns:c16="http://schemas.microsoft.com/office/drawing/2014/chart" uri="{C3380CC4-5D6E-409C-BE32-E72D297353CC}">
              <c16:uniqueId val="{00000002-BF3D-C74D-AC6F-D519D6D2ACFC}"/>
            </c:ext>
          </c:extLst>
        </c:ser>
        <c:dLbls>
          <c:dLblPos val="outEnd"/>
          <c:showLegendKey val="0"/>
          <c:showVal val="1"/>
          <c:showCatName val="0"/>
          <c:showSerName val="0"/>
          <c:showPercent val="0"/>
          <c:showBubbleSize val="0"/>
        </c:dLbls>
        <c:gapWidth val="100"/>
        <c:overlap val="-24"/>
        <c:axId val="514233192"/>
        <c:axId val="514240640"/>
      </c:barChart>
      <c:catAx>
        <c:axId val="51423319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40640"/>
        <c:crosses val="autoZero"/>
        <c:auto val="1"/>
        <c:lblAlgn val="ctr"/>
        <c:lblOffset val="100"/>
        <c:noMultiLvlLbl val="0"/>
      </c:catAx>
      <c:valAx>
        <c:axId val="51424064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33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2022-04-06</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'April 6, 2022'!$B$2:$B$3</c:f>
              <c:strCache>
                <c:ptCount val="2"/>
                <c:pt idx="0">
                  <c:v>Total Hospital</c:v>
                </c:pt>
                <c:pt idx="1">
                  <c:v>4722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6,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6, 2022'!$B$4:$B$16</c:f>
              <c:numCache>
                <c:formatCode>General</c:formatCode>
                <c:ptCount val="13"/>
                <c:pt idx="0">
                  <c:v>334</c:v>
                </c:pt>
                <c:pt idx="1">
                  <c:v>990</c:v>
                </c:pt>
                <c:pt idx="2" formatCode="0">
                  <c:v>1074</c:v>
                </c:pt>
                <c:pt idx="3" formatCode="#,##0">
                  <c:v>1540</c:v>
                </c:pt>
                <c:pt idx="4">
                  <c:v>51</c:v>
                </c:pt>
                <c:pt idx="5">
                  <c:v>178</c:v>
                </c:pt>
                <c:pt idx="6">
                  <c:v>111</c:v>
                </c:pt>
                <c:pt idx="7">
                  <c:v>30</c:v>
                </c:pt>
                <c:pt idx="8">
                  <c:v>324</c:v>
                </c:pt>
                <c:pt idx="9">
                  <c:v>47</c:v>
                </c:pt>
                <c:pt idx="10">
                  <c:v>8</c:v>
                </c:pt>
                <c:pt idx="11">
                  <c:v>2</c:v>
                </c:pt>
                <c:pt idx="12">
                  <c:v>33</c:v>
                </c:pt>
              </c:numCache>
            </c:numRef>
          </c:val>
          <c:extLst>
            <c:ext xmlns:c16="http://schemas.microsoft.com/office/drawing/2014/chart" uri="{C3380CC4-5D6E-409C-BE32-E72D297353CC}">
              <c16:uniqueId val="{00000000-EDA9-447A-B34A-7F5482B615D8}"/>
            </c:ext>
          </c:extLst>
        </c:ser>
        <c:ser>
          <c:idx val="1"/>
          <c:order val="1"/>
          <c:tx>
            <c:strRef>
              <c:f>'April 6, 2022'!$C$2:$C$3</c:f>
              <c:strCache>
                <c:ptCount val="2"/>
                <c:pt idx="0">
                  <c:v>Total ICU</c:v>
                </c:pt>
                <c:pt idx="1">
                  <c:v>382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6,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6, 2022'!$C$4:$C$16</c:f>
              <c:numCache>
                <c:formatCode>General</c:formatCode>
                <c:ptCount val="13"/>
                <c:pt idx="0">
                  <c:v>35</c:v>
                </c:pt>
                <c:pt idx="1">
                  <c:v>44</c:v>
                </c:pt>
                <c:pt idx="2">
                  <c:v>168</c:v>
                </c:pt>
                <c:pt idx="3">
                  <c:v>66</c:v>
                </c:pt>
                <c:pt idx="4">
                  <c:v>11</c:v>
                </c:pt>
                <c:pt idx="5">
                  <c:v>9</c:v>
                </c:pt>
                <c:pt idx="6">
                  <c:v>16</c:v>
                </c:pt>
                <c:pt idx="7">
                  <c:v>3</c:v>
                </c:pt>
                <c:pt idx="8">
                  <c:v>21</c:v>
                </c:pt>
                <c:pt idx="9">
                  <c:v>9</c:v>
                </c:pt>
                <c:pt idx="10">
                  <c:v>0</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47912"/>
        <c:axId val="451738896"/>
      </c:barChart>
      <c:catAx>
        <c:axId val="45174791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38896"/>
        <c:crosses val="autoZero"/>
        <c:auto val="1"/>
        <c:lblAlgn val="ctr"/>
        <c:lblOffset val="100"/>
        <c:noMultiLvlLbl val="0"/>
      </c:catAx>
      <c:valAx>
        <c:axId val="45173889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479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2020-10-09</a:t>
            </a:r>
          </a:p>
        </c:rich>
      </c:tx>
      <c:layout>
        <c:manualLayout>
          <c:xMode val="edge"/>
          <c:yMode val="edge"/>
          <c:x val="0.13431345206194581"/>
          <c:y val="2.360897109032057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'October 9, 2020'!$B$2:$B$3</c:f>
              <c:strCache>
                <c:ptCount val="2"/>
                <c:pt idx="0">
                  <c:v>Total Hospital</c:v>
                </c:pt>
                <c:pt idx="1">
                  <c:v>750</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9,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9, 2020'!$B$4:$B$16</c:f>
              <c:numCache>
                <c:formatCode>General</c:formatCode>
                <c:ptCount val="13"/>
                <c:pt idx="0">
                  <c:v>76</c:v>
                </c:pt>
                <c:pt idx="1">
                  <c:v>77</c:v>
                </c:pt>
                <c:pt idx="2" formatCode="0">
                  <c:v>206</c:v>
                </c:pt>
                <c:pt idx="3">
                  <c:v>357</c:v>
                </c:pt>
                <c:pt idx="4">
                  <c:v>0</c:v>
                </c:pt>
                <c:pt idx="5">
                  <c:v>3</c:v>
                </c:pt>
                <c:pt idx="6">
                  <c:v>25</c:v>
                </c:pt>
                <c:pt idx="7">
                  <c:v>0</c:v>
                </c:pt>
                <c:pt idx="8">
                  <c:v>6</c:v>
                </c:pt>
                <c:pt idx="9">
                  <c:v>0</c:v>
                </c:pt>
                <c:pt idx="10">
                  <c:v>0</c:v>
                </c:pt>
                <c:pt idx="11">
                  <c:v>0</c:v>
                </c:pt>
                <c:pt idx="12">
                  <c:v>0</c:v>
                </c:pt>
              </c:numCache>
            </c:numRef>
          </c:val>
          <c:extLst>
            <c:ext xmlns:c16="http://schemas.microsoft.com/office/drawing/2014/chart" uri="{C3380CC4-5D6E-409C-BE32-E72D297353CC}">
              <c16:uniqueId val="{00000000-4CC1-2946-B027-F5861FC2F6D4}"/>
            </c:ext>
          </c:extLst>
        </c:ser>
        <c:ser>
          <c:idx val="1"/>
          <c:order val="1"/>
          <c:tx>
            <c:strRef>
              <c:f>'October 9, 2020'!$C$2:$C$3</c:f>
              <c:strCache>
                <c:ptCount val="2"/>
                <c:pt idx="0">
                  <c:v>Total ICU</c:v>
                </c:pt>
                <c:pt idx="1">
                  <c:v>154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C1-2946-B027-F5861FC2F6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9,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9, 2020'!$C$4:$C$16</c:f>
              <c:numCache>
                <c:formatCode>General</c:formatCode>
                <c:ptCount val="13"/>
                <c:pt idx="0">
                  <c:v>17</c:v>
                </c:pt>
                <c:pt idx="1">
                  <c:v>13</c:v>
                </c:pt>
                <c:pt idx="2">
                  <c:v>47</c:v>
                </c:pt>
                <c:pt idx="3">
                  <c:v>68</c:v>
                </c:pt>
                <c:pt idx="4">
                  <c:v>1</c:v>
                </c:pt>
                <c:pt idx="5">
                  <c:v>1</c:v>
                </c:pt>
                <c:pt idx="6">
                  <c:v>6</c:v>
                </c:pt>
                <c:pt idx="7">
                  <c:v>0</c:v>
                </c:pt>
                <c:pt idx="8">
                  <c:v>1</c:v>
                </c:pt>
                <c:pt idx="9">
                  <c:v>0</c:v>
                </c:pt>
                <c:pt idx="10">
                  <c:v>0</c:v>
                </c:pt>
                <c:pt idx="11">
                  <c:v>0</c:v>
                </c:pt>
                <c:pt idx="12">
                  <c:v>0</c:v>
                </c:pt>
              </c:numCache>
            </c:numRef>
          </c:val>
          <c:extLst>
            <c:ext xmlns:c16="http://schemas.microsoft.com/office/drawing/2014/chart" uri="{C3380CC4-5D6E-409C-BE32-E72D297353CC}">
              <c16:uniqueId val="{00000002-4CC1-2946-B027-F5861FC2F6D4}"/>
            </c:ext>
          </c:extLst>
        </c:ser>
        <c:dLbls>
          <c:dLblPos val="outEnd"/>
          <c:showLegendKey val="0"/>
          <c:showVal val="1"/>
          <c:showCatName val="0"/>
          <c:showSerName val="0"/>
          <c:showPercent val="0"/>
          <c:showBubbleSize val="0"/>
        </c:dLbls>
        <c:gapWidth val="100"/>
        <c:overlap val="-24"/>
        <c:axId val="514242208"/>
        <c:axId val="514244168"/>
      </c:barChart>
      <c:catAx>
        <c:axId val="51424220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44168"/>
        <c:crosses val="autoZero"/>
        <c:auto val="1"/>
        <c:lblAlgn val="ctr"/>
        <c:lblOffset val="100"/>
        <c:noMultiLvlLbl val="0"/>
      </c:catAx>
      <c:valAx>
        <c:axId val="51424416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422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2020-10-07</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'October 7, 2020'!$B$2:$B$3</c:f>
              <c:strCache>
                <c:ptCount val="2"/>
                <c:pt idx="0">
                  <c:v>Total Hospital</c:v>
                </c:pt>
                <c:pt idx="1">
                  <c:v>703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7,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7, 2020'!$B$4:$B$16</c:f>
              <c:numCache>
                <c:formatCode>General</c:formatCode>
                <c:ptCount val="13"/>
                <c:pt idx="0">
                  <c:v>71</c:v>
                </c:pt>
                <c:pt idx="1">
                  <c:v>61</c:v>
                </c:pt>
                <c:pt idx="2" formatCode="0">
                  <c:v>195</c:v>
                </c:pt>
                <c:pt idx="3">
                  <c:v>347</c:v>
                </c:pt>
                <c:pt idx="4">
                  <c:v>0</c:v>
                </c:pt>
                <c:pt idx="5">
                  <c:v>0</c:v>
                </c:pt>
                <c:pt idx="6">
                  <c:v>28</c:v>
                </c:pt>
                <c:pt idx="7">
                  <c:v>0</c:v>
                </c:pt>
                <c:pt idx="8">
                  <c:v>1</c:v>
                </c:pt>
                <c:pt idx="9">
                  <c:v>0</c:v>
                </c:pt>
                <c:pt idx="10">
                  <c:v>0</c:v>
                </c:pt>
                <c:pt idx="11">
                  <c:v>0</c:v>
                </c:pt>
                <c:pt idx="12">
                  <c:v>0</c:v>
                </c:pt>
              </c:numCache>
            </c:numRef>
          </c:val>
          <c:extLst>
            <c:ext xmlns:c16="http://schemas.microsoft.com/office/drawing/2014/chart" uri="{C3380CC4-5D6E-409C-BE32-E72D297353CC}">
              <c16:uniqueId val="{00000000-FEF6-3E48-B1D7-BBC01E8B91FD}"/>
            </c:ext>
          </c:extLst>
        </c:ser>
        <c:ser>
          <c:idx val="1"/>
          <c:order val="1"/>
          <c:tx>
            <c:strRef>
              <c:f>'October 7, 2020'!$C$2:$C$3</c:f>
              <c:strCache>
                <c:ptCount val="2"/>
                <c:pt idx="0">
                  <c:v>Total ICU</c:v>
                </c:pt>
                <c:pt idx="1">
                  <c:v>143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EF6-3E48-B1D7-BBC01E8B91F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7,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7, 2020'!$C$4:$C$16</c:f>
              <c:numCache>
                <c:formatCode>General</c:formatCode>
                <c:ptCount val="13"/>
                <c:pt idx="0">
                  <c:v>16</c:v>
                </c:pt>
                <c:pt idx="1">
                  <c:v>13</c:v>
                </c:pt>
                <c:pt idx="2">
                  <c:v>43</c:v>
                </c:pt>
                <c:pt idx="3">
                  <c:v>62</c:v>
                </c:pt>
                <c:pt idx="4">
                  <c:v>1</c:v>
                </c:pt>
                <c:pt idx="5">
                  <c:v>0</c:v>
                </c:pt>
                <c:pt idx="6">
                  <c:v>7</c:v>
                </c:pt>
                <c:pt idx="7">
                  <c:v>0</c:v>
                </c:pt>
                <c:pt idx="8">
                  <c:v>1</c:v>
                </c:pt>
                <c:pt idx="9">
                  <c:v>0</c:v>
                </c:pt>
                <c:pt idx="10">
                  <c:v>0</c:v>
                </c:pt>
                <c:pt idx="11">
                  <c:v>0</c:v>
                </c:pt>
                <c:pt idx="12">
                  <c:v>0</c:v>
                </c:pt>
              </c:numCache>
            </c:numRef>
          </c:val>
          <c:extLst>
            <c:ext xmlns:c16="http://schemas.microsoft.com/office/drawing/2014/chart" uri="{C3380CC4-5D6E-409C-BE32-E72D297353CC}">
              <c16:uniqueId val="{00000002-FEF6-3E48-B1D7-BBC01E8B91FD}"/>
            </c:ext>
          </c:extLst>
        </c:ser>
        <c:dLbls>
          <c:dLblPos val="outEnd"/>
          <c:showLegendKey val="0"/>
          <c:showVal val="1"/>
          <c:showCatName val="0"/>
          <c:showSerName val="0"/>
          <c:showPercent val="0"/>
          <c:showBubbleSize val="0"/>
        </c:dLbls>
        <c:gapWidth val="100"/>
        <c:overlap val="-24"/>
        <c:axId val="514239856"/>
        <c:axId val="514242600"/>
      </c:barChart>
      <c:catAx>
        <c:axId val="51423985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42600"/>
        <c:crosses val="autoZero"/>
        <c:auto val="1"/>
        <c:lblAlgn val="ctr"/>
        <c:lblOffset val="100"/>
        <c:noMultiLvlLbl val="0"/>
      </c:catAx>
      <c:valAx>
        <c:axId val="51424260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398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2020-10-05</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'October 5, 2020'!$B$2:$B$3</c:f>
              <c:strCache>
                <c:ptCount val="2"/>
                <c:pt idx="0">
                  <c:v>Total Hospital</c:v>
                </c:pt>
                <c:pt idx="1">
                  <c:v>599</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5,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5, 2020'!$B$4:$B$16</c:f>
              <c:numCache>
                <c:formatCode>General</c:formatCode>
                <c:ptCount val="13"/>
                <c:pt idx="0">
                  <c:v>69</c:v>
                </c:pt>
                <c:pt idx="1">
                  <c:v>64</c:v>
                </c:pt>
                <c:pt idx="2" formatCode="0">
                  <c:v>176</c:v>
                </c:pt>
                <c:pt idx="3">
                  <c:v>270</c:v>
                </c:pt>
                <c:pt idx="4">
                  <c:v>0</c:v>
                </c:pt>
                <c:pt idx="5">
                  <c:v>0</c:v>
                </c:pt>
                <c:pt idx="6">
                  <c:v>20</c:v>
                </c:pt>
                <c:pt idx="7">
                  <c:v>0</c:v>
                </c:pt>
                <c:pt idx="8">
                  <c:v>0</c:v>
                </c:pt>
                <c:pt idx="9">
                  <c:v>0</c:v>
                </c:pt>
                <c:pt idx="10">
                  <c:v>0</c:v>
                </c:pt>
                <c:pt idx="11">
                  <c:v>0</c:v>
                </c:pt>
                <c:pt idx="12">
                  <c:v>0</c:v>
                </c:pt>
              </c:numCache>
            </c:numRef>
          </c:val>
          <c:extLst>
            <c:ext xmlns:c16="http://schemas.microsoft.com/office/drawing/2014/chart" uri="{C3380CC4-5D6E-409C-BE32-E72D297353CC}">
              <c16:uniqueId val="{00000000-0511-674B-B73A-DD2D632E9800}"/>
            </c:ext>
          </c:extLst>
        </c:ser>
        <c:ser>
          <c:idx val="1"/>
          <c:order val="1"/>
          <c:tx>
            <c:strRef>
              <c:f>'October 5, 2020'!$C$2:$C$3</c:f>
              <c:strCache>
                <c:ptCount val="2"/>
                <c:pt idx="0">
                  <c:v>Total ICU</c:v>
                </c:pt>
                <c:pt idx="1">
                  <c:v>148</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511-674B-B73A-DD2D632E980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5,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5, 2020'!$C$4:$C$16</c:f>
              <c:numCache>
                <c:formatCode>General</c:formatCode>
                <c:ptCount val="13"/>
                <c:pt idx="0">
                  <c:v>19</c:v>
                </c:pt>
                <c:pt idx="1">
                  <c:v>15</c:v>
                </c:pt>
                <c:pt idx="2">
                  <c:v>43</c:v>
                </c:pt>
                <c:pt idx="3">
                  <c:v>64</c:v>
                </c:pt>
                <c:pt idx="4">
                  <c:v>1</c:v>
                </c:pt>
                <c:pt idx="5">
                  <c:v>0</c:v>
                </c:pt>
                <c:pt idx="6">
                  <c:v>5</c:v>
                </c:pt>
                <c:pt idx="7">
                  <c:v>0</c:v>
                </c:pt>
                <c:pt idx="8">
                  <c:v>1</c:v>
                </c:pt>
                <c:pt idx="9">
                  <c:v>0</c:v>
                </c:pt>
                <c:pt idx="10">
                  <c:v>0</c:v>
                </c:pt>
                <c:pt idx="11">
                  <c:v>0</c:v>
                </c:pt>
                <c:pt idx="12">
                  <c:v>0</c:v>
                </c:pt>
              </c:numCache>
            </c:numRef>
          </c:val>
          <c:extLst>
            <c:ext xmlns:c16="http://schemas.microsoft.com/office/drawing/2014/chart" uri="{C3380CC4-5D6E-409C-BE32-E72D297353CC}">
              <c16:uniqueId val="{00000002-0511-674B-B73A-DD2D632E9800}"/>
            </c:ext>
          </c:extLst>
        </c:ser>
        <c:dLbls>
          <c:dLblPos val="outEnd"/>
          <c:showLegendKey val="0"/>
          <c:showVal val="1"/>
          <c:showCatName val="0"/>
          <c:showSerName val="0"/>
          <c:showPercent val="0"/>
          <c:showBubbleSize val="0"/>
        </c:dLbls>
        <c:gapWidth val="100"/>
        <c:overlap val="-24"/>
        <c:axId val="514239464"/>
        <c:axId val="514243384"/>
      </c:barChart>
      <c:catAx>
        <c:axId val="51423946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43384"/>
        <c:crosses val="autoZero"/>
        <c:auto val="1"/>
        <c:lblAlgn val="ctr"/>
        <c:lblOffset val="100"/>
        <c:noMultiLvlLbl val="0"/>
      </c:catAx>
      <c:valAx>
        <c:axId val="51424338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394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2020-10-02</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'October 2, 2020'!$B$2:$B$3</c:f>
              <c:strCache>
                <c:ptCount val="2"/>
                <c:pt idx="0">
                  <c:v>Total Hospital</c:v>
                </c:pt>
                <c:pt idx="1">
                  <c:v>575</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2,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2, 2020'!$B$4:$B$16</c:f>
              <c:numCache>
                <c:formatCode>General</c:formatCode>
                <c:ptCount val="13"/>
                <c:pt idx="0">
                  <c:v>69</c:v>
                </c:pt>
                <c:pt idx="1">
                  <c:v>64</c:v>
                </c:pt>
                <c:pt idx="2" formatCode="0">
                  <c:v>167</c:v>
                </c:pt>
                <c:pt idx="3">
                  <c:v>253</c:v>
                </c:pt>
                <c:pt idx="4">
                  <c:v>0</c:v>
                </c:pt>
                <c:pt idx="5">
                  <c:v>0</c:v>
                </c:pt>
                <c:pt idx="6">
                  <c:v>15</c:v>
                </c:pt>
                <c:pt idx="7">
                  <c:v>0</c:v>
                </c:pt>
                <c:pt idx="8">
                  <c:v>7</c:v>
                </c:pt>
                <c:pt idx="9">
                  <c:v>0</c:v>
                </c:pt>
                <c:pt idx="10">
                  <c:v>0</c:v>
                </c:pt>
                <c:pt idx="11">
                  <c:v>0</c:v>
                </c:pt>
                <c:pt idx="12">
                  <c:v>0</c:v>
                </c:pt>
              </c:numCache>
            </c:numRef>
          </c:val>
          <c:extLst>
            <c:ext xmlns:c16="http://schemas.microsoft.com/office/drawing/2014/chart" uri="{C3380CC4-5D6E-409C-BE32-E72D297353CC}">
              <c16:uniqueId val="{00000000-4CDF-A446-B46B-5E0CE1A7FA54}"/>
            </c:ext>
          </c:extLst>
        </c:ser>
        <c:ser>
          <c:idx val="1"/>
          <c:order val="1"/>
          <c:tx>
            <c:strRef>
              <c:f>'October 2, 2020'!$C$2:$C$3</c:f>
              <c:strCache>
                <c:ptCount val="2"/>
                <c:pt idx="0">
                  <c:v>Total ICU</c:v>
                </c:pt>
                <c:pt idx="1">
                  <c:v>126</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DF-A446-B46B-5E0CE1A7FA5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2,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2, 2020'!$C$4:$C$16</c:f>
              <c:numCache>
                <c:formatCode>General</c:formatCode>
                <c:ptCount val="13"/>
                <c:pt idx="0">
                  <c:v>19</c:v>
                </c:pt>
                <c:pt idx="1">
                  <c:v>12</c:v>
                </c:pt>
                <c:pt idx="2">
                  <c:v>38</c:v>
                </c:pt>
                <c:pt idx="3">
                  <c:v>49</c:v>
                </c:pt>
                <c:pt idx="4">
                  <c:v>1</c:v>
                </c:pt>
                <c:pt idx="5">
                  <c:v>0</c:v>
                </c:pt>
                <c:pt idx="6">
                  <c:v>7</c:v>
                </c:pt>
                <c:pt idx="7">
                  <c:v>0</c:v>
                </c:pt>
                <c:pt idx="8">
                  <c:v>0</c:v>
                </c:pt>
                <c:pt idx="9">
                  <c:v>0</c:v>
                </c:pt>
                <c:pt idx="10">
                  <c:v>0</c:v>
                </c:pt>
                <c:pt idx="11">
                  <c:v>0</c:v>
                </c:pt>
                <c:pt idx="12">
                  <c:v>0</c:v>
                </c:pt>
              </c:numCache>
            </c:numRef>
          </c:val>
          <c:extLst>
            <c:ext xmlns:c16="http://schemas.microsoft.com/office/drawing/2014/chart" uri="{C3380CC4-5D6E-409C-BE32-E72D297353CC}">
              <c16:uniqueId val="{00000002-4CDF-A446-B46B-5E0CE1A7FA54}"/>
            </c:ext>
          </c:extLst>
        </c:ser>
        <c:dLbls>
          <c:dLblPos val="outEnd"/>
          <c:showLegendKey val="0"/>
          <c:showVal val="1"/>
          <c:showCatName val="0"/>
          <c:showSerName val="0"/>
          <c:showPercent val="0"/>
          <c:showBubbleSize val="0"/>
        </c:dLbls>
        <c:gapWidth val="100"/>
        <c:overlap val="-24"/>
        <c:axId val="514240248"/>
        <c:axId val="514235544"/>
      </c:barChart>
      <c:catAx>
        <c:axId val="51424024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35544"/>
        <c:crosses val="autoZero"/>
        <c:auto val="1"/>
        <c:lblAlgn val="ctr"/>
        <c:lblOffset val="100"/>
        <c:noMultiLvlLbl val="0"/>
      </c:catAx>
      <c:valAx>
        <c:axId val="51423554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402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2020-09-30</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'September 30, 2020'!$B$2:$B$3</c:f>
              <c:strCache>
                <c:ptCount val="2"/>
                <c:pt idx="0">
                  <c:v>Total Hospital</c:v>
                </c:pt>
                <c:pt idx="1">
                  <c:v>497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30,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30, 2020'!$B$4:$B$16</c:f>
              <c:numCache>
                <c:formatCode>General</c:formatCode>
                <c:ptCount val="13"/>
                <c:pt idx="0">
                  <c:v>69</c:v>
                </c:pt>
                <c:pt idx="1">
                  <c:v>63</c:v>
                </c:pt>
                <c:pt idx="2" formatCode="0">
                  <c:v>137</c:v>
                </c:pt>
                <c:pt idx="3">
                  <c:v>206</c:v>
                </c:pt>
                <c:pt idx="4">
                  <c:v>0</c:v>
                </c:pt>
                <c:pt idx="5">
                  <c:v>0</c:v>
                </c:pt>
                <c:pt idx="6">
                  <c:v>14</c:v>
                </c:pt>
                <c:pt idx="7">
                  <c:v>0</c:v>
                </c:pt>
                <c:pt idx="8">
                  <c:v>8</c:v>
                </c:pt>
                <c:pt idx="9">
                  <c:v>0</c:v>
                </c:pt>
                <c:pt idx="10">
                  <c:v>0</c:v>
                </c:pt>
                <c:pt idx="11">
                  <c:v>0</c:v>
                </c:pt>
                <c:pt idx="12">
                  <c:v>0</c:v>
                </c:pt>
              </c:numCache>
            </c:numRef>
          </c:val>
          <c:extLst>
            <c:ext xmlns:c16="http://schemas.microsoft.com/office/drawing/2014/chart" uri="{C3380CC4-5D6E-409C-BE32-E72D297353CC}">
              <c16:uniqueId val="{00000000-A1CF-884F-A125-256B847767E7}"/>
            </c:ext>
          </c:extLst>
        </c:ser>
        <c:ser>
          <c:idx val="1"/>
          <c:order val="1"/>
          <c:tx>
            <c:strRef>
              <c:f>'September 30, 2020'!$C$2:$C$3</c:f>
              <c:strCache>
                <c:ptCount val="2"/>
                <c:pt idx="0">
                  <c:v>Total ICU</c:v>
                </c:pt>
                <c:pt idx="1">
                  <c:v>115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1CF-884F-A125-256B847767E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30,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30, 2020'!$C$4:$C$16</c:f>
              <c:numCache>
                <c:formatCode>General</c:formatCode>
                <c:ptCount val="13"/>
                <c:pt idx="0">
                  <c:v>22</c:v>
                </c:pt>
                <c:pt idx="1">
                  <c:v>13</c:v>
                </c:pt>
                <c:pt idx="2">
                  <c:v>30</c:v>
                </c:pt>
                <c:pt idx="3">
                  <c:v>41</c:v>
                </c:pt>
                <c:pt idx="4">
                  <c:v>1</c:v>
                </c:pt>
                <c:pt idx="5">
                  <c:v>0</c:v>
                </c:pt>
                <c:pt idx="6">
                  <c:v>8</c:v>
                </c:pt>
                <c:pt idx="7">
                  <c:v>0</c:v>
                </c:pt>
                <c:pt idx="8">
                  <c:v>0</c:v>
                </c:pt>
                <c:pt idx="9">
                  <c:v>0</c:v>
                </c:pt>
                <c:pt idx="10">
                  <c:v>0</c:v>
                </c:pt>
                <c:pt idx="11">
                  <c:v>0</c:v>
                </c:pt>
                <c:pt idx="12">
                  <c:v>0</c:v>
                </c:pt>
              </c:numCache>
            </c:numRef>
          </c:val>
          <c:extLst>
            <c:ext xmlns:c16="http://schemas.microsoft.com/office/drawing/2014/chart" uri="{C3380CC4-5D6E-409C-BE32-E72D297353CC}">
              <c16:uniqueId val="{00000002-A1CF-884F-A125-256B847767E7}"/>
            </c:ext>
          </c:extLst>
        </c:ser>
        <c:dLbls>
          <c:dLblPos val="outEnd"/>
          <c:showLegendKey val="0"/>
          <c:showVal val="1"/>
          <c:showCatName val="0"/>
          <c:showSerName val="0"/>
          <c:showPercent val="0"/>
          <c:showBubbleSize val="0"/>
        </c:dLbls>
        <c:gapWidth val="100"/>
        <c:overlap val="-24"/>
        <c:axId val="514239072"/>
        <c:axId val="514233976"/>
      </c:barChart>
      <c:catAx>
        <c:axId val="51423907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33976"/>
        <c:crosses val="autoZero"/>
        <c:auto val="1"/>
        <c:lblAlgn val="ctr"/>
        <c:lblOffset val="100"/>
        <c:noMultiLvlLbl val="0"/>
      </c:catAx>
      <c:valAx>
        <c:axId val="51423397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39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2020-09-28</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'September 28, 2020'!$B$2:$B$3</c:f>
              <c:strCache>
                <c:ptCount val="2"/>
                <c:pt idx="0">
                  <c:v>Total Hospital</c:v>
                </c:pt>
                <c:pt idx="1">
                  <c:v>441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28,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28, 2020'!$B$4:$B$16</c:f>
              <c:numCache>
                <c:formatCode>General</c:formatCode>
                <c:ptCount val="13"/>
                <c:pt idx="0">
                  <c:v>62</c:v>
                </c:pt>
                <c:pt idx="1">
                  <c:v>56</c:v>
                </c:pt>
                <c:pt idx="2" formatCode="0">
                  <c:v>128</c:v>
                </c:pt>
                <c:pt idx="3">
                  <c:v>175</c:v>
                </c:pt>
                <c:pt idx="4">
                  <c:v>0</c:v>
                </c:pt>
                <c:pt idx="5">
                  <c:v>0</c:v>
                </c:pt>
                <c:pt idx="6">
                  <c:v>13</c:v>
                </c:pt>
                <c:pt idx="7">
                  <c:v>0</c:v>
                </c:pt>
                <c:pt idx="8">
                  <c:v>7</c:v>
                </c:pt>
                <c:pt idx="9">
                  <c:v>0</c:v>
                </c:pt>
                <c:pt idx="10">
                  <c:v>0</c:v>
                </c:pt>
                <c:pt idx="11">
                  <c:v>0</c:v>
                </c:pt>
                <c:pt idx="12">
                  <c:v>0</c:v>
                </c:pt>
              </c:numCache>
            </c:numRef>
          </c:val>
          <c:extLst>
            <c:ext xmlns:c16="http://schemas.microsoft.com/office/drawing/2014/chart" uri="{C3380CC4-5D6E-409C-BE32-E72D297353CC}">
              <c16:uniqueId val="{00000000-0A92-F543-9ECE-BBE0B6F8490B}"/>
            </c:ext>
          </c:extLst>
        </c:ser>
        <c:ser>
          <c:idx val="1"/>
          <c:order val="1"/>
          <c:tx>
            <c:strRef>
              <c:f>'September 28, 2020'!$C$2:$C$3</c:f>
              <c:strCache>
                <c:ptCount val="2"/>
                <c:pt idx="0">
                  <c:v>Total ICU</c:v>
                </c:pt>
                <c:pt idx="1">
                  <c:v>110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A92-F543-9ECE-BBE0B6F8490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28,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28, 2020'!$C$4:$C$16</c:f>
              <c:numCache>
                <c:formatCode>General</c:formatCode>
                <c:ptCount val="13"/>
                <c:pt idx="0">
                  <c:v>19</c:v>
                </c:pt>
                <c:pt idx="1">
                  <c:v>14</c:v>
                </c:pt>
                <c:pt idx="2">
                  <c:v>29</c:v>
                </c:pt>
                <c:pt idx="3">
                  <c:v>41</c:v>
                </c:pt>
                <c:pt idx="4">
                  <c:v>1</c:v>
                </c:pt>
                <c:pt idx="5">
                  <c:v>0</c:v>
                </c:pt>
                <c:pt idx="6">
                  <c:v>6</c:v>
                </c:pt>
                <c:pt idx="7">
                  <c:v>0</c:v>
                </c:pt>
                <c:pt idx="8">
                  <c:v>0</c:v>
                </c:pt>
                <c:pt idx="9">
                  <c:v>0</c:v>
                </c:pt>
                <c:pt idx="10">
                  <c:v>0</c:v>
                </c:pt>
                <c:pt idx="11">
                  <c:v>0</c:v>
                </c:pt>
                <c:pt idx="12">
                  <c:v>0</c:v>
                </c:pt>
              </c:numCache>
            </c:numRef>
          </c:val>
          <c:extLst>
            <c:ext xmlns:c16="http://schemas.microsoft.com/office/drawing/2014/chart" uri="{C3380CC4-5D6E-409C-BE32-E72D297353CC}">
              <c16:uniqueId val="{00000002-0A92-F543-9ECE-BBE0B6F8490B}"/>
            </c:ext>
          </c:extLst>
        </c:ser>
        <c:dLbls>
          <c:dLblPos val="outEnd"/>
          <c:showLegendKey val="0"/>
          <c:showVal val="1"/>
          <c:showCatName val="0"/>
          <c:showSerName val="0"/>
          <c:showPercent val="0"/>
          <c:showBubbleSize val="0"/>
        </c:dLbls>
        <c:gapWidth val="100"/>
        <c:overlap val="-24"/>
        <c:axId val="514244560"/>
        <c:axId val="514237896"/>
      </c:barChart>
      <c:catAx>
        <c:axId val="51424456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37896"/>
        <c:crosses val="autoZero"/>
        <c:auto val="1"/>
        <c:lblAlgn val="ctr"/>
        <c:lblOffset val="100"/>
        <c:noMultiLvlLbl val="0"/>
      </c:catAx>
      <c:valAx>
        <c:axId val="51423789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445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2020-09-25</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'September 25, 2020'!$B$2:$B$3</c:f>
              <c:strCache>
                <c:ptCount val="2"/>
                <c:pt idx="0">
                  <c:v>Total Hospital</c:v>
                </c:pt>
                <c:pt idx="1">
                  <c:v>378</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25,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25, 2020'!$B$4:$B$16</c:f>
              <c:numCache>
                <c:formatCode>General</c:formatCode>
                <c:ptCount val="13"/>
                <c:pt idx="0">
                  <c:v>61</c:v>
                </c:pt>
                <c:pt idx="1">
                  <c:v>58</c:v>
                </c:pt>
                <c:pt idx="2" formatCode="0">
                  <c:v>87</c:v>
                </c:pt>
                <c:pt idx="3">
                  <c:v>153</c:v>
                </c:pt>
                <c:pt idx="4">
                  <c:v>0</c:v>
                </c:pt>
                <c:pt idx="5">
                  <c:v>0</c:v>
                </c:pt>
                <c:pt idx="6">
                  <c:v>11</c:v>
                </c:pt>
                <c:pt idx="7">
                  <c:v>0</c:v>
                </c:pt>
                <c:pt idx="8">
                  <c:v>8</c:v>
                </c:pt>
                <c:pt idx="9">
                  <c:v>0</c:v>
                </c:pt>
                <c:pt idx="10">
                  <c:v>0</c:v>
                </c:pt>
                <c:pt idx="11">
                  <c:v>0</c:v>
                </c:pt>
                <c:pt idx="12">
                  <c:v>0</c:v>
                </c:pt>
              </c:numCache>
            </c:numRef>
          </c:val>
          <c:extLst>
            <c:ext xmlns:c16="http://schemas.microsoft.com/office/drawing/2014/chart" uri="{C3380CC4-5D6E-409C-BE32-E72D297353CC}">
              <c16:uniqueId val="{00000000-4240-4949-80FB-04AC902C861E}"/>
            </c:ext>
          </c:extLst>
        </c:ser>
        <c:ser>
          <c:idx val="1"/>
          <c:order val="1"/>
          <c:tx>
            <c:strRef>
              <c:f>'September 25, 2020'!$C$2:$C$3</c:f>
              <c:strCache>
                <c:ptCount val="2"/>
                <c:pt idx="0">
                  <c:v>Total ICU</c:v>
                </c:pt>
                <c:pt idx="1">
                  <c:v>97</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40-4949-80FB-04AC902C861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25,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25, 2020'!$C$4:$C$16</c:f>
              <c:numCache>
                <c:formatCode>General</c:formatCode>
                <c:ptCount val="13"/>
                <c:pt idx="0">
                  <c:v>20</c:v>
                </c:pt>
                <c:pt idx="1">
                  <c:v>14</c:v>
                </c:pt>
                <c:pt idx="2">
                  <c:v>25</c:v>
                </c:pt>
                <c:pt idx="3">
                  <c:v>31</c:v>
                </c:pt>
                <c:pt idx="4">
                  <c:v>1</c:v>
                </c:pt>
                <c:pt idx="5">
                  <c:v>0</c:v>
                </c:pt>
                <c:pt idx="6">
                  <c:v>6</c:v>
                </c:pt>
                <c:pt idx="7">
                  <c:v>0</c:v>
                </c:pt>
                <c:pt idx="8">
                  <c:v>0</c:v>
                </c:pt>
                <c:pt idx="9">
                  <c:v>0</c:v>
                </c:pt>
                <c:pt idx="10">
                  <c:v>0</c:v>
                </c:pt>
                <c:pt idx="11">
                  <c:v>0</c:v>
                </c:pt>
                <c:pt idx="12">
                  <c:v>0</c:v>
                </c:pt>
              </c:numCache>
            </c:numRef>
          </c:val>
          <c:extLst>
            <c:ext xmlns:c16="http://schemas.microsoft.com/office/drawing/2014/chart" uri="{C3380CC4-5D6E-409C-BE32-E72D297353CC}">
              <c16:uniqueId val="{00000002-4240-4949-80FB-04AC902C861E}"/>
            </c:ext>
          </c:extLst>
        </c:ser>
        <c:dLbls>
          <c:dLblPos val="outEnd"/>
          <c:showLegendKey val="0"/>
          <c:showVal val="1"/>
          <c:showCatName val="0"/>
          <c:showSerName val="0"/>
          <c:showPercent val="0"/>
          <c:showBubbleSize val="0"/>
        </c:dLbls>
        <c:gapWidth val="100"/>
        <c:overlap val="-24"/>
        <c:axId val="514232408"/>
        <c:axId val="514237504"/>
      </c:barChart>
      <c:catAx>
        <c:axId val="51423240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37504"/>
        <c:crosses val="autoZero"/>
        <c:auto val="1"/>
        <c:lblAlgn val="ctr"/>
        <c:lblOffset val="100"/>
        <c:noMultiLvlLbl val="0"/>
      </c:catAx>
      <c:valAx>
        <c:axId val="51423750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32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2020-09-23</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'September 23, 2020'!$B$2:$B$3</c:f>
              <c:strCache>
                <c:ptCount val="2"/>
                <c:pt idx="0">
                  <c:v>Total Hospital</c:v>
                </c:pt>
                <c:pt idx="1">
                  <c:v>366</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23,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23, 2020'!$B$4:$B$16</c:f>
              <c:numCache>
                <c:formatCode>General</c:formatCode>
                <c:ptCount val="13"/>
                <c:pt idx="0">
                  <c:v>61</c:v>
                </c:pt>
                <c:pt idx="1">
                  <c:v>51</c:v>
                </c:pt>
                <c:pt idx="2" formatCode="0">
                  <c:v>88</c:v>
                </c:pt>
                <c:pt idx="3">
                  <c:v>148</c:v>
                </c:pt>
                <c:pt idx="4">
                  <c:v>1</c:v>
                </c:pt>
                <c:pt idx="5">
                  <c:v>0</c:v>
                </c:pt>
                <c:pt idx="6">
                  <c:v>8</c:v>
                </c:pt>
                <c:pt idx="7">
                  <c:v>0</c:v>
                </c:pt>
                <c:pt idx="8">
                  <c:v>9</c:v>
                </c:pt>
                <c:pt idx="9">
                  <c:v>0</c:v>
                </c:pt>
                <c:pt idx="10">
                  <c:v>0</c:v>
                </c:pt>
                <c:pt idx="11">
                  <c:v>0</c:v>
                </c:pt>
                <c:pt idx="12">
                  <c:v>0</c:v>
                </c:pt>
              </c:numCache>
            </c:numRef>
          </c:val>
          <c:extLst>
            <c:ext xmlns:c16="http://schemas.microsoft.com/office/drawing/2014/chart" uri="{C3380CC4-5D6E-409C-BE32-E72D297353CC}">
              <c16:uniqueId val="{00000000-5BC6-4246-B68B-E38E7791DA50}"/>
            </c:ext>
          </c:extLst>
        </c:ser>
        <c:ser>
          <c:idx val="1"/>
          <c:order val="1"/>
          <c:tx>
            <c:strRef>
              <c:f>'September 23, 2020'!$C$2:$C$3</c:f>
              <c:strCache>
                <c:ptCount val="2"/>
                <c:pt idx="0">
                  <c:v>Total ICU</c:v>
                </c:pt>
                <c:pt idx="1">
                  <c:v>88</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C6-4246-B68B-E38E7791DA5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23,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23, 2020'!$C$4:$C$16</c:f>
              <c:numCache>
                <c:formatCode>General</c:formatCode>
                <c:ptCount val="13"/>
                <c:pt idx="0">
                  <c:v>22</c:v>
                </c:pt>
                <c:pt idx="1">
                  <c:v>9</c:v>
                </c:pt>
                <c:pt idx="2">
                  <c:v>24</c:v>
                </c:pt>
                <c:pt idx="3">
                  <c:v>30</c:v>
                </c:pt>
                <c:pt idx="4">
                  <c:v>0</c:v>
                </c:pt>
                <c:pt idx="5">
                  <c:v>0</c:v>
                </c:pt>
                <c:pt idx="6">
                  <c:v>2</c:v>
                </c:pt>
                <c:pt idx="7">
                  <c:v>0</c:v>
                </c:pt>
                <c:pt idx="8">
                  <c:v>1</c:v>
                </c:pt>
                <c:pt idx="9">
                  <c:v>0</c:v>
                </c:pt>
                <c:pt idx="10">
                  <c:v>0</c:v>
                </c:pt>
                <c:pt idx="11">
                  <c:v>0</c:v>
                </c:pt>
                <c:pt idx="12">
                  <c:v>0</c:v>
                </c:pt>
              </c:numCache>
            </c:numRef>
          </c:val>
          <c:extLst>
            <c:ext xmlns:c16="http://schemas.microsoft.com/office/drawing/2014/chart" uri="{C3380CC4-5D6E-409C-BE32-E72D297353CC}">
              <c16:uniqueId val="{00000002-5BC6-4246-B68B-E38E7791DA50}"/>
            </c:ext>
          </c:extLst>
        </c:ser>
        <c:dLbls>
          <c:dLblPos val="outEnd"/>
          <c:showLegendKey val="0"/>
          <c:showVal val="1"/>
          <c:showCatName val="0"/>
          <c:showSerName val="0"/>
          <c:showPercent val="0"/>
          <c:showBubbleSize val="0"/>
        </c:dLbls>
        <c:gapWidth val="100"/>
        <c:overlap val="-24"/>
        <c:axId val="514234368"/>
        <c:axId val="514234760"/>
      </c:barChart>
      <c:catAx>
        <c:axId val="5142343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34760"/>
        <c:crosses val="autoZero"/>
        <c:auto val="1"/>
        <c:lblAlgn val="ctr"/>
        <c:lblOffset val="100"/>
        <c:noMultiLvlLbl val="0"/>
      </c:catAx>
      <c:valAx>
        <c:axId val="51423476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34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2020-09-21</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'September 21, 2020'!$B$2:$B$3</c:f>
              <c:strCache>
                <c:ptCount val="2"/>
                <c:pt idx="0">
                  <c:v>Total Hospital</c:v>
                </c:pt>
                <c:pt idx="1">
                  <c:v>296</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21,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21, 2020'!$B$4:$B$16</c:f>
              <c:numCache>
                <c:formatCode>General</c:formatCode>
                <c:ptCount val="13"/>
                <c:pt idx="0">
                  <c:v>59</c:v>
                </c:pt>
                <c:pt idx="1">
                  <c:v>44</c:v>
                </c:pt>
                <c:pt idx="2" formatCode="0">
                  <c:v>65</c:v>
                </c:pt>
                <c:pt idx="3">
                  <c:v>107</c:v>
                </c:pt>
                <c:pt idx="4">
                  <c:v>0</c:v>
                </c:pt>
                <c:pt idx="5">
                  <c:v>0</c:v>
                </c:pt>
                <c:pt idx="6">
                  <c:v>11</c:v>
                </c:pt>
                <c:pt idx="7">
                  <c:v>0</c:v>
                </c:pt>
                <c:pt idx="8">
                  <c:v>10</c:v>
                </c:pt>
                <c:pt idx="9">
                  <c:v>0</c:v>
                </c:pt>
                <c:pt idx="10">
                  <c:v>0</c:v>
                </c:pt>
                <c:pt idx="11">
                  <c:v>0</c:v>
                </c:pt>
                <c:pt idx="12">
                  <c:v>0</c:v>
                </c:pt>
              </c:numCache>
            </c:numRef>
          </c:val>
          <c:extLst>
            <c:ext xmlns:c16="http://schemas.microsoft.com/office/drawing/2014/chart" uri="{C3380CC4-5D6E-409C-BE32-E72D297353CC}">
              <c16:uniqueId val="{00000000-714D-794E-A7C2-4130C306515B}"/>
            </c:ext>
          </c:extLst>
        </c:ser>
        <c:ser>
          <c:idx val="1"/>
          <c:order val="1"/>
          <c:tx>
            <c:strRef>
              <c:f>'September 21, 2020'!$C$2:$C$3</c:f>
              <c:strCache>
                <c:ptCount val="2"/>
                <c:pt idx="0">
                  <c:v>Total ICU</c:v>
                </c:pt>
                <c:pt idx="1">
                  <c:v>86</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14D-794E-A7C2-4130C306515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21,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21, 2020'!$C$4:$C$16</c:f>
              <c:numCache>
                <c:formatCode>General</c:formatCode>
                <c:ptCount val="13"/>
                <c:pt idx="0">
                  <c:v>20</c:v>
                </c:pt>
                <c:pt idx="1">
                  <c:v>7</c:v>
                </c:pt>
                <c:pt idx="2">
                  <c:v>22</c:v>
                </c:pt>
                <c:pt idx="3">
                  <c:v>33</c:v>
                </c:pt>
                <c:pt idx="4">
                  <c:v>0</c:v>
                </c:pt>
                <c:pt idx="5">
                  <c:v>0</c:v>
                </c:pt>
                <c:pt idx="6">
                  <c:v>3</c:v>
                </c:pt>
                <c:pt idx="7">
                  <c:v>0</c:v>
                </c:pt>
                <c:pt idx="8">
                  <c:v>1</c:v>
                </c:pt>
                <c:pt idx="9">
                  <c:v>0</c:v>
                </c:pt>
                <c:pt idx="10">
                  <c:v>0</c:v>
                </c:pt>
                <c:pt idx="11">
                  <c:v>0</c:v>
                </c:pt>
                <c:pt idx="12">
                  <c:v>0</c:v>
                </c:pt>
              </c:numCache>
            </c:numRef>
          </c:val>
          <c:extLst>
            <c:ext xmlns:c16="http://schemas.microsoft.com/office/drawing/2014/chart" uri="{C3380CC4-5D6E-409C-BE32-E72D297353CC}">
              <c16:uniqueId val="{00000002-714D-794E-A7C2-4130C306515B}"/>
            </c:ext>
          </c:extLst>
        </c:ser>
        <c:dLbls>
          <c:dLblPos val="outEnd"/>
          <c:showLegendKey val="0"/>
          <c:showVal val="1"/>
          <c:showCatName val="0"/>
          <c:showSerName val="0"/>
          <c:showPercent val="0"/>
          <c:showBubbleSize val="0"/>
        </c:dLbls>
        <c:gapWidth val="100"/>
        <c:overlap val="-24"/>
        <c:axId val="514236720"/>
        <c:axId val="514237112"/>
      </c:barChart>
      <c:catAx>
        <c:axId val="51423672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37112"/>
        <c:crosses val="autoZero"/>
        <c:auto val="1"/>
        <c:lblAlgn val="ctr"/>
        <c:lblOffset val="100"/>
        <c:noMultiLvlLbl val="0"/>
      </c:catAx>
      <c:valAx>
        <c:axId val="51423711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367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2020-09-18</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'September 18, 2020'!$B$2:$B$3</c:f>
              <c:strCache>
                <c:ptCount val="2"/>
                <c:pt idx="0">
                  <c:v>Total Hospital</c:v>
                </c:pt>
                <c:pt idx="1">
                  <c:v>277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18,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18, 2020'!$B$4:$B$16</c:f>
              <c:numCache>
                <c:formatCode>General</c:formatCode>
                <c:ptCount val="13"/>
                <c:pt idx="0">
                  <c:v>57</c:v>
                </c:pt>
                <c:pt idx="1">
                  <c:v>41</c:v>
                </c:pt>
                <c:pt idx="2" formatCode="0">
                  <c:v>58</c:v>
                </c:pt>
                <c:pt idx="3">
                  <c:v>106</c:v>
                </c:pt>
                <c:pt idx="4">
                  <c:v>0</c:v>
                </c:pt>
                <c:pt idx="5">
                  <c:v>0</c:v>
                </c:pt>
                <c:pt idx="6">
                  <c:v>10</c:v>
                </c:pt>
                <c:pt idx="7">
                  <c:v>0</c:v>
                </c:pt>
                <c:pt idx="8">
                  <c:v>5</c:v>
                </c:pt>
                <c:pt idx="9">
                  <c:v>0</c:v>
                </c:pt>
                <c:pt idx="10">
                  <c:v>0</c:v>
                </c:pt>
                <c:pt idx="11">
                  <c:v>0</c:v>
                </c:pt>
                <c:pt idx="12">
                  <c:v>0</c:v>
                </c:pt>
              </c:numCache>
            </c:numRef>
          </c:val>
          <c:extLst>
            <c:ext xmlns:c16="http://schemas.microsoft.com/office/drawing/2014/chart" uri="{C3380CC4-5D6E-409C-BE32-E72D297353CC}">
              <c16:uniqueId val="{00000000-0027-7545-94E2-1EEC138B2102}"/>
            </c:ext>
          </c:extLst>
        </c:ser>
        <c:ser>
          <c:idx val="1"/>
          <c:order val="1"/>
          <c:tx>
            <c:strRef>
              <c:f>'September 18, 2020'!$C$2:$C$3</c:f>
              <c:strCache>
                <c:ptCount val="2"/>
                <c:pt idx="0">
                  <c:v>Total ICU</c:v>
                </c:pt>
                <c:pt idx="1">
                  <c:v>82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027-7545-94E2-1EEC138B210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18,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18, 2020'!$C$4:$C$16</c:f>
              <c:numCache>
                <c:formatCode>General</c:formatCode>
                <c:ptCount val="13"/>
                <c:pt idx="0">
                  <c:v>22</c:v>
                </c:pt>
                <c:pt idx="1">
                  <c:v>8</c:v>
                </c:pt>
                <c:pt idx="2">
                  <c:v>20</c:v>
                </c:pt>
                <c:pt idx="3">
                  <c:v>30</c:v>
                </c:pt>
                <c:pt idx="4">
                  <c:v>0</c:v>
                </c:pt>
                <c:pt idx="5">
                  <c:v>0</c:v>
                </c:pt>
                <c:pt idx="6">
                  <c:v>2</c:v>
                </c:pt>
                <c:pt idx="7">
                  <c:v>0</c:v>
                </c:pt>
                <c:pt idx="8">
                  <c:v>0</c:v>
                </c:pt>
                <c:pt idx="9">
                  <c:v>0</c:v>
                </c:pt>
                <c:pt idx="10">
                  <c:v>0</c:v>
                </c:pt>
                <c:pt idx="11">
                  <c:v>0</c:v>
                </c:pt>
                <c:pt idx="12">
                  <c:v>0</c:v>
                </c:pt>
              </c:numCache>
            </c:numRef>
          </c:val>
          <c:extLst>
            <c:ext xmlns:c16="http://schemas.microsoft.com/office/drawing/2014/chart" uri="{C3380CC4-5D6E-409C-BE32-E72D297353CC}">
              <c16:uniqueId val="{00000002-0027-7545-94E2-1EEC138B2102}"/>
            </c:ext>
          </c:extLst>
        </c:ser>
        <c:dLbls>
          <c:dLblPos val="outEnd"/>
          <c:showLegendKey val="0"/>
          <c:showVal val="1"/>
          <c:showCatName val="0"/>
          <c:showSerName val="0"/>
          <c:showPercent val="0"/>
          <c:showBubbleSize val="0"/>
        </c:dLbls>
        <c:gapWidth val="100"/>
        <c:overlap val="-24"/>
        <c:axId val="514249656"/>
        <c:axId val="514248480"/>
      </c:barChart>
      <c:catAx>
        <c:axId val="51424965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48480"/>
        <c:crosses val="autoZero"/>
        <c:auto val="1"/>
        <c:lblAlgn val="ctr"/>
        <c:lblOffset val="100"/>
        <c:noMultiLvlLbl val="0"/>
      </c:catAx>
      <c:valAx>
        <c:axId val="5142484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49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2022-04-04</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'April 4, 2022'!$B$2:$B$3</c:f>
              <c:strCache>
                <c:ptCount val="2"/>
                <c:pt idx="0">
                  <c:v>Total Hospital</c:v>
                </c:pt>
                <c:pt idx="1">
                  <c:v>4233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4,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4, 2022'!$B$4:$B$16</c:f>
              <c:numCache>
                <c:formatCode>General</c:formatCode>
                <c:ptCount val="13"/>
                <c:pt idx="0">
                  <c:v>274</c:v>
                </c:pt>
                <c:pt idx="1">
                  <c:v>964</c:v>
                </c:pt>
                <c:pt idx="2" formatCode="0">
                  <c:v>857</c:v>
                </c:pt>
                <c:pt idx="3" formatCode="#,##0">
                  <c:v>1407</c:v>
                </c:pt>
                <c:pt idx="4">
                  <c:v>51</c:v>
                </c:pt>
                <c:pt idx="5">
                  <c:v>142</c:v>
                </c:pt>
                <c:pt idx="6">
                  <c:v>111</c:v>
                </c:pt>
                <c:pt idx="7">
                  <c:v>19</c:v>
                </c:pt>
                <c:pt idx="8">
                  <c:v>324</c:v>
                </c:pt>
                <c:pt idx="9">
                  <c:v>43</c:v>
                </c:pt>
                <c:pt idx="10">
                  <c:v>8</c:v>
                </c:pt>
                <c:pt idx="11">
                  <c:v>0</c:v>
                </c:pt>
                <c:pt idx="12">
                  <c:v>33</c:v>
                </c:pt>
              </c:numCache>
            </c:numRef>
          </c:val>
          <c:extLst>
            <c:ext xmlns:c16="http://schemas.microsoft.com/office/drawing/2014/chart" uri="{C3380CC4-5D6E-409C-BE32-E72D297353CC}">
              <c16:uniqueId val="{00000000-EDA9-447A-B34A-7F5482B615D8}"/>
            </c:ext>
          </c:extLst>
        </c:ser>
        <c:ser>
          <c:idx val="1"/>
          <c:order val="1"/>
          <c:tx>
            <c:strRef>
              <c:f>'April 4, 2022'!$C$2:$C$3</c:f>
              <c:strCache>
                <c:ptCount val="2"/>
                <c:pt idx="0">
                  <c:v>Total ICU</c:v>
                </c:pt>
                <c:pt idx="1">
                  <c:v>385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4,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4, 2022'!$C$4:$C$16</c:f>
              <c:numCache>
                <c:formatCode>General</c:formatCode>
                <c:ptCount val="13"/>
                <c:pt idx="0">
                  <c:v>35</c:v>
                </c:pt>
                <c:pt idx="1">
                  <c:v>47</c:v>
                </c:pt>
                <c:pt idx="2">
                  <c:v>168</c:v>
                </c:pt>
                <c:pt idx="3">
                  <c:v>69</c:v>
                </c:pt>
                <c:pt idx="4">
                  <c:v>11</c:v>
                </c:pt>
                <c:pt idx="5">
                  <c:v>8</c:v>
                </c:pt>
                <c:pt idx="6">
                  <c:v>16</c:v>
                </c:pt>
                <c:pt idx="7">
                  <c:v>1</c:v>
                </c:pt>
                <c:pt idx="8">
                  <c:v>21</c:v>
                </c:pt>
                <c:pt idx="9">
                  <c:v>9</c:v>
                </c:pt>
                <c:pt idx="10">
                  <c:v>0</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48304"/>
        <c:axId val="451742816"/>
      </c:barChart>
      <c:catAx>
        <c:axId val="45174830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42816"/>
        <c:crosses val="autoZero"/>
        <c:auto val="1"/>
        <c:lblAlgn val="ctr"/>
        <c:lblOffset val="100"/>
        <c:noMultiLvlLbl val="0"/>
      </c:catAx>
      <c:valAx>
        <c:axId val="45174281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48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2020-09-16</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'September 16, 2020'!$B$2:$B$3</c:f>
              <c:strCache>
                <c:ptCount val="2"/>
                <c:pt idx="0">
                  <c:v>Total Hospital</c:v>
                </c:pt>
                <c:pt idx="1">
                  <c:v>263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16,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16, 2020'!$B$4:$B$16</c:f>
              <c:numCache>
                <c:formatCode>General</c:formatCode>
                <c:ptCount val="13"/>
                <c:pt idx="0">
                  <c:v>63</c:v>
                </c:pt>
                <c:pt idx="1">
                  <c:v>39</c:v>
                </c:pt>
                <c:pt idx="2" formatCode="0">
                  <c:v>44</c:v>
                </c:pt>
                <c:pt idx="3">
                  <c:v>104</c:v>
                </c:pt>
                <c:pt idx="4">
                  <c:v>0</c:v>
                </c:pt>
                <c:pt idx="5">
                  <c:v>0</c:v>
                </c:pt>
                <c:pt idx="6">
                  <c:v>9</c:v>
                </c:pt>
                <c:pt idx="7">
                  <c:v>0</c:v>
                </c:pt>
                <c:pt idx="8">
                  <c:v>4</c:v>
                </c:pt>
                <c:pt idx="9">
                  <c:v>0</c:v>
                </c:pt>
                <c:pt idx="10">
                  <c:v>0</c:v>
                </c:pt>
                <c:pt idx="11">
                  <c:v>0</c:v>
                </c:pt>
                <c:pt idx="12">
                  <c:v>0</c:v>
                </c:pt>
              </c:numCache>
            </c:numRef>
          </c:val>
          <c:extLst>
            <c:ext xmlns:c16="http://schemas.microsoft.com/office/drawing/2014/chart" uri="{C3380CC4-5D6E-409C-BE32-E72D297353CC}">
              <c16:uniqueId val="{00000000-6AA3-6A4F-A202-C994D2F955D9}"/>
            </c:ext>
          </c:extLst>
        </c:ser>
        <c:ser>
          <c:idx val="1"/>
          <c:order val="1"/>
          <c:tx>
            <c:strRef>
              <c:f>'September 16, 2020'!$C$2:$C$3</c:f>
              <c:strCache>
                <c:ptCount val="2"/>
                <c:pt idx="0">
                  <c:v>Total ICU</c:v>
                </c:pt>
                <c:pt idx="1">
                  <c:v>76</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AA3-6A4F-A202-C994D2F955D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16,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16, 2020'!$C$4:$C$16</c:f>
              <c:numCache>
                <c:formatCode>General</c:formatCode>
                <c:ptCount val="13"/>
                <c:pt idx="0">
                  <c:v>20</c:v>
                </c:pt>
                <c:pt idx="1">
                  <c:v>7</c:v>
                </c:pt>
                <c:pt idx="2">
                  <c:v>20</c:v>
                </c:pt>
                <c:pt idx="3">
                  <c:v>26</c:v>
                </c:pt>
                <c:pt idx="4">
                  <c:v>0</c:v>
                </c:pt>
                <c:pt idx="5">
                  <c:v>0</c:v>
                </c:pt>
                <c:pt idx="6">
                  <c:v>3</c:v>
                </c:pt>
                <c:pt idx="7">
                  <c:v>0</c:v>
                </c:pt>
                <c:pt idx="8">
                  <c:v>0</c:v>
                </c:pt>
                <c:pt idx="9">
                  <c:v>0</c:v>
                </c:pt>
                <c:pt idx="10">
                  <c:v>0</c:v>
                </c:pt>
                <c:pt idx="11">
                  <c:v>0</c:v>
                </c:pt>
                <c:pt idx="12">
                  <c:v>0</c:v>
                </c:pt>
              </c:numCache>
            </c:numRef>
          </c:val>
          <c:extLst>
            <c:ext xmlns:c16="http://schemas.microsoft.com/office/drawing/2014/chart" uri="{C3380CC4-5D6E-409C-BE32-E72D297353CC}">
              <c16:uniqueId val="{00000002-6AA3-6A4F-A202-C994D2F955D9}"/>
            </c:ext>
          </c:extLst>
        </c:ser>
        <c:dLbls>
          <c:dLblPos val="outEnd"/>
          <c:showLegendKey val="0"/>
          <c:showVal val="1"/>
          <c:showCatName val="0"/>
          <c:showSerName val="0"/>
          <c:showPercent val="0"/>
          <c:showBubbleSize val="0"/>
        </c:dLbls>
        <c:gapWidth val="100"/>
        <c:overlap val="-24"/>
        <c:axId val="514254360"/>
        <c:axId val="514244952"/>
      </c:barChart>
      <c:catAx>
        <c:axId val="51425436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44952"/>
        <c:crosses val="autoZero"/>
        <c:auto val="1"/>
        <c:lblAlgn val="ctr"/>
        <c:lblOffset val="100"/>
        <c:noMultiLvlLbl val="0"/>
      </c:catAx>
      <c:valAx>
        <c:axId val="51424495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54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2020-09-14</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'September 14, 2020'!$B$2:$B$3</c:f>
              <c:strCache>
                <c:ptCount val="2"/>
                <c:pt idx="0">
                  <c:v>Total Hospital</c:v>
                </c:pt>
                <c:pt idx="1">
                  <c:v>259</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14,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14, 2020'!$B$4:$B$16</c:f>
              <c:numCache>
                <c:formatCode>General</c:formatCode>
                <c:ptCount val="13"/>
                <c:pt idx="0">
                  <c:v>49</c:v>
                </c:pt>
                <c:pt idx="1">
                  <c:v>41</c:v>
                </c:pt>
                <c:pt idx="2" formatCode="0">
                  <c:v>47</c:v>
                </c:pt>
                <c:pt idx="3">
                  <c:v>105</c:v>
                </c:pt>
                <c:pt idx="4">
                  <c:v>0</c:v>
                </c:pt>
                <c:pt idx="5">
                  <c:v>0</c:v>
                </c:pt>
                <c:pt idx="6">
                  <c:v>15</c:v>
                </c:pt>
                <c:pt idx="7">
                  <c:v>0</c:v>
                </c:pt>
                <c:pt idx="8">
                  <c:v>2</c:v>
                </c:pt>
                <c:pt idx="9">
                  <c:v>0</c:v>
                </c:pt>
                <c:pt idx="10">
                  <c:v>0</c:v>
                </c:pt>
                <c:pt idx="11">
                  <c:v>0</c:v>
                </c:pt>
                <c:pt idx="12">
                  <c:v>0</c:v>
                </c:pt>
              </c:numCache>
            </c:numRef>
          </c:val>
          <c:extLst>
            <c:ext xmlns:c16="http://schemas.microsoft.com/office/drawing/2014/chart" uri="{C3380CC4-5D6E-409C-BE32-E72D297353CC}">
              <c16:uniqueId val="{00000000-C06F-054C-8970-5FFA0C954C1D}"/>
            </c:ext>
          </c:extLst>
        </c:ser>
        <c:ser>
          <c:idx val="1"/>
          <c:order val="1"/>
          <c:tx>
            <c:strRef>
              <c:f>'September 14, 2020'!$C$2:$C$3</c:f>
              <c:strCache>
                <c:ptCount val="2"/>
                <c:pt idx="0">
                  <c:v>Total ICU</c:v>
                </c:pt>
                <c:pt idx="1">
                  <c:v>55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6F-054C-8970-5FFA0C954C1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14,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14, 2020'!$C$4:$C$16</c:f>
              <c:numCache>
                <c:formatCode>General</c:formatCode>
                <c:ptCount val="13"/>
                <c:pt idx="0">
                  <c:v>10</c:v>
                </c:pt>
                <c:pt idx="1">
                  <c:v>6</c:v>
                </c:pt>
                <c:pt idx="2">
                  <c:v>17</c:v>
                </c:pt>
                <c:pt idx="3">
                  <c:v>19</c:v>
                </c:pt>
                <c:pt idx="4">
                  <c:v>0</c:v>
                </c:pt>
                <c:pt idx="5">
                  <c:v>0</c:v>
                </c:pt>
                <c:pt idx="6">
                  <c:v>3</c:v>
                </c:pt>
                <c:pt idx="7">
                  <c:v>0</c:v>
                </c:pt>
                <c:pt idx="8">
                  <c:v>0</c:v>
                </c:pt>
                <c:pt idx="9">
                  <c:v>0</c:v>
                </c:pt>
                <c:pt idx="10">
                  <c:v>0</c:v>
                </c:pt>
                <c:pt idx="11">
                  <c:v>0</c:v>
                </c:pt>
                <c:pt idx="12">
                  <c:v>0</c:v>
                </c:pt>
              </c:numCache>
            </c:numRef>
          </c:val>
          <c:extLst>
            <c:ext xmlns:c16="http://schemas.microsoft.com/office/drawing/2014/chart" uri="{C3380CC4-5D6E-409C-BE32-E72D297353CC}">
              <c16:uniqueId val="{00000002-C06F-054C-8970-5FFA0C954C1D}"/>
            </c:ext>
          </c:extLst>
        </c:ser>
        <c:dLbls>
          <c:dLblPos val="outEnd"/>
          <c:showLegendKey val="0"/>
          <c:showVal val="1"/>
          <c:showCatName val="0"/>
          <c:showSerName val="0"/>
          <c:showPercent val="0"/>
          <c:showBubbleSize val="0"/>
        </c:dLbls>
        <c:gapWidth val="100"/>
        <c:overlap val="-24"/>
        <c:axId val="514246912"/>
        <c:axId val="514252400"/>
      </c:barChart>
      <c:catAx>
        <c:axId val="51424691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52400"/>
        <c:crosses val="autoZero"/>
        <c:auto val="1"/>
        <c:lblAlgn val="ctr"/>
        <c:lblOffset val="100"/>
        <c:noMultiLvlLbl val="0"/>
      </c:catAx>
      <c:valAx>
        <c:axId val="51425240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469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2020-09-11</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'September 11, 2020'!$B$2:$B$3</c:f>
              <c:strCache>
                <c:ptCount val="2"/>
                <c:pt idx="0">
                  <c:v>Total Hospital</c:v>
                </c:pt>
                <c:pt idx="1">
                  <c:v>259</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11,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11, 2020'!$B$4:$B$16</c:f>
              <c:numCache>
                <c:formatCode>General</c:formatCode>
                <c:ptCount val="13"/>
                <c:pt idx="0">
                  <c:v>32</c:v>
                </c:pt>
                <c:pt idx="1">
                  <c:v>43</c:v>
                </c:pt>
                <c:pt idx="2" formatCode="0">
                  <c:v>49</c:v>
                </c:pt>
                <c:pt idx="3">
                  <c:v>123</c:v>
                </c:pt>
                <c:pt idx="4">
                  <c:v>0</c:v>
                </c:pt>
                <c:pt idx="5">
                  <c:v>0</c:v>
                </c:pt>
                <c:pt idx="6">
                  <c:v>11</c:v>
                </c:pt>
                <c:pt idx="7">
                  <c:v>0</c:v>
                </c:pt>
                <c:pt idx="8">
                  <c:v>1</c:v>
                </c:pt>
                <c:pt idx="9">
                  <c:v>0</c:v>
                </c:pt>
                <c:pt idx="10">
                  <c:v>0</c:v>
                </c:pt>
                <c:pt idx="11">
                  <c:v>0</c:v>
                </c:pt>
                <c:pt idx="12">
                  <c:v>0</c:v>
                </c:pt>
              </c:numCache>
            </c:numRef>
          </c:val>
          <c:extLst>
            <c:ext xmlns:c16="http://schemas.microsoft.com/office/drawing/2014/chart" uri="{C3380CC4-5D6E-409C-BE32-E72D297353CC}">
              <c16:uniqueId val="{00000000-F95A-7E40-BDC5-F6B6F2C7E8B0}"/>
            </c:ext>
          </c:extLst>
        </c:ser>
        <c:ser>
          <c:idx val="1"/>
          <c:order val="1"/>
          <c:tx>
            <c:strRef>
              <c:f>'September 11, 2020'!$C$2:$C$3</c:f>
              <c:strCache>
                <c:ptCount val="2"/>
                <c:pt idx="0">
                  <c:v>Total ICU</c:v>
                </c:pt>
                <c:pt idx="1">
                  <c:v>53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95A-7E40-BDC5-F6B6F2C7E8B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11,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11, 2020'!$C$4:$C$16</c:f>
              <c:numCache>
                <c:formatCode>General</c:formatCode>
                <c:ptCount val="13"/>
                <c:pt idx="0">
                  <c:v>12</c:v>
                </c:pt>
                <c:pt idx="1">
                  <c:v>7</c:v>
                </c:pt>
                <c:pt idx="2">
                  <c:v>18</c:v>
                </c:pt>
                <c:pt idx="3">
                  <c:v>12</c:v>
                </c:pt>
                <c:pt idx="4">
                  <c:v>0</c:v>
                </c:pt>
                <c:pt idx="5">
                  <c:v>0</c:v>
                </c:pt>
                <c:pt idx="6">
                  <c:v>3</c:v>
                </c:pt>
                <c:pt idx="7">
                  <c:v>0</c:v>
                </c:pt>
                <c:pt idx="8">
                  <c:v>1</c:v>
                </c:pt>
                <c:pt idx="9">
                  <c:v>0</c:v>
                </c:pt>
                <c:pt idx="10">
                  <c:v>0</c:v>
                </c:pt>
                <c:pt idx="11">
                  <c:v>0</c:v>
                </c:pt>
                <c:pt idx="12">
                  <c:v>0</c:v>
                </c:pt>
              </c:numCache>
            </c:numRef>
          </c:val>
          <c:extLst>
            <c:ext xmlns:c16="http://schemas.microsoft.com/office/drawing/2014/chart" uri="{C3380CC4-5D6E-409C-BE32-E72D297353CC}">
              <c16:uniqueId val="{00000002-F95A-7E40-BDC5-F6B6F2C7E8B0}"/>
            </c:ext>
          </c:extLst>
        </c:ser>
        <c:dLbls>
          <c:dLblPos val="outEnd"/>
          <c:showLegendKey val="0"/>
          <c:showVal val="1"/>
          <c:showCatName val="0"/>
          <c:showSerName val="0"/>
          <c:showPercent val="0"/>
          <c:showBubbleSize val="0"/>
        </c:dLbls>
        <c:gapWidth val="100"/>
        <c:overlap val="-24"/>
        <c:axId val="514252792"/>
        <c:axId val="514255144"/>
      </c:barChart>
      <c:catAx>
        <c:axId val="51425279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55144"/>
        <c:crosses val="autoZero"/>
        <c:auto val="1"/>
        <c:lblAlgn val="ctr"/>
        <c:lblOffset val="100"/>
        <c:noMultiLvlLbl val="0"/>
      </c:catAx>
      <c:valAx>
        <c:axId val="51425514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527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2020-09-10</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'September 10, 2020'!$B$2:$B$3</c:f>
              <c:strCache>
                <c:ptCount val="2"/>
                <c:pt idx="0">
                  <c:v>Total Hospital</c:v>
                </c:pt>
                <c:pt idx="1">
                  <c:v>256</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10,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10, 2020'!$B$4:$B$16</c:f>
              <c:numCache>
                <c:formatCode>General</c:formatCode>
                <c:ptCount val="13"/>
                <c:pt idx="0">
                  <c:v>37</c:v>
                </c:pt>
                <c:pt idx="1">
                  <c:v>45</c:v>
                </c:pt>
                <c:pt idx="2" formatCode="0">
                  <c:v>54</c:v>
                </c:pt>
                <c:pt idx="3">
                  <c:v>107</c:v>
                </c:pt>
                <c:pt idx="4">
                  <c:v>0</c:v>
                </c:pt>
                <c:pt idx="5">
                  <c:v>0</c:v>
                </c:pt>
                <c:pt idx="6">
                  <c:v>12</c:v>
                </c:pt>
                <c:pt idx="7">
                  <c:v>0</c:v>
                </c:pt>
                <c:pt idx="8">
                  <c:v>1</c:v>
                </c:pt>
                <c:pt idx="9">
                  <c:v>0</c:v>
                </c:pt>
                <c:pt idx="10">
                  <c:v>0</c:v>
                </c:pt>
                <c:pt idx="11">
                  <c:v>0</c:v>
                </c:pt>
                <c:pt idx="12">
                  <c:v>0</c:v>
                </c:pt>
              </c:numCache>
            </c:numRef>
          </c:val>
          <c:extLst>
            <c:ext xmlns:c16="http://schemas.microsoft.com/office/drawing/2014/chart" uri="{C3380CC4-5D6E-409C-BE32-E72D297353CC}">
              <c16:uniqueId val="{00000000-5ACA-7F4F-BDD7-C3B8E7164A53}"/>
            </c:ext>
          </c:extLst>
        </c:ser>
        <c:ser>
          <c:idx val="1"/>
          <c:order val="1"/>
          <c:tx>
            <c:strRef>
              <c:f>'September 10, 2020'!$C$2:$C$3</c:f>
              <c:strCache>
                <c:ptCount val="2"/>
                <c:pt idx="0">
                  <c:v>Total ICU</c:v>
                </c:pt>
                <c:pt idx="1">
                  <c:v>52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ACA-7F4F-BDD7-C3B8E7164A5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10,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10, 2020'!$C$4:$C$16</c:f>
              <c:numCache>
                <c:formatCode>General</c:formatCode>
                <c:ptCount val="13"/>
                <c:pt idx="0">
                  <c:v>15</c:v>
                </c:pt>
                <c:pt idx="1">
                  <c:v>7</c:v>
                </c:pt>
                <c:pt idx="2">
                  <c:v>14</c:v>
                </c:pt>
                <c:pt idx="3">
                  <c:v>12</c:v>
                </c:pt>
                <c:pt idx="4">
                  <c:v>0</c:v>
                </c:pt>
                <c:pt idx="5">
                  <c:v>0</c:v>
                </c:pt>
                <c:pt idx="6">
                  <c:v>3</c:v>
                </c:pt>
                <c:pt idx="7">
                  <c:v>0</c:v>
                </c:pt>
                <c:pt idx="8">
                  <c:v>1</c:v>
                </c:pt>
                <c:pt idx="9">
                  <c:v>0</c:v>
                </c:pt>
                <c:pt idx="10">
                  <c:v>0</c:v>
                </c:pt>
                <c:pt idx="11">
                  <c:v>0</c:v>
                </c:pt>
                <c:pt idx="12">
                  <c:v>0</c:v>
                </c:pt>
              </c:numCache>
            </c:numRef>
          </c:val>
          <c:extLst>
            <c:ext xmlns:c16="http://schemas.microsoft.com/office/drawing/2014/chart" uri="{C3380CC4-5D6E-409C-BE32-E72D297353CC}">
              <c16:uniqueId val="{00000002-5ACA-7F4F-BDD7-C3B8E7164A53}"/>
            </c:ext>
          </c:extLst>
        </c:ser>
        <c:dLbls>
          <c:dLblPos val="outEnd"/>
          <c:showLegendKey val="0"/>
          <c:showVal val="1"/>
          <c:showCatName val="0"/>
          <c:showSerName val="0"/>
          <c:showPercent val="0"/>
          <c:showBubbleSize val="0"/>
        </c:dLbls>
        <c:gapWidth val="100"/>
        <c:overlap val="-24"/>
        <c:axId val="514255536"/>
        <c:axId val="514251616"/>
      </c:barChart>
      <c:catAx>
        <c:axId val="51425553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51616"/>
        <c:crosses val="autoZero"/>
        <c:auto val="1"/>
        <c:lblAlgn val="ctr"/>
        <c:lblOffset val="100"/>
        <c:noMultiLvlLbl val="0"/>
      </c:catAx>
      <c:valAx>
        <c:axId val="51425161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555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2020-09-08</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'September 8, 2020'!$B$2:$B$3</c:f>
              <c:strCache>
                <c:ptCount val="2"/>
                <c:pt idx="0">
                  <c:v>Total Hospital</c:v>
                </c:pt>
                <c:pt idx="1">
                  <c:v>236</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8,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8, 2020'!$B$4:$B$16</c:f>
              <c:numCache>
                <c:formatCode>General</c:formatCode>
                <c:ptCount val="13"/>
                <c:pt idx="0">
                  <c:v>31</c:v>
                </c:pt>
                <c:pt idx="1">
                  <c:v>47</c:v>
                </c:pt>
                <c:pt idx="2" formatCode="0">
                  <c:v>54</c:v>
                </c:pt>
                <c:pt idx="3">
                  <c:v>90</c:v>
                </c:pt>
                <c:pt idx="4">
                  <c:v>0</c:v>
                </c:pt>
                <c:pt idx="5">
                  <c:v>0</c:v>
                </c:pt>
                <c:pt idx="6">
                  <c:v>13</c:v>
                </c:pt>
                <c:pt idx="7">
                  <c:v>0</c:v>
                </c:pt>
                <c:pt idx="8">
                  <c:v>1</c:v>
                </c:pt>
                <c:pt idx="9">
                  <c:v>0</c:v>
                </c:pt>
                <c:pt idx="10">
                  <c:v>0</c:v>
                </c:pt>
                <c:pt idx="11">
                  <c:v>0</c:v>
                </c:pt>
                <c:pt idx="12">
                  <c:v>0</c:v>
                </c:pt>
              </c:numCache>
            </c:numRef>
          </c:val>
          <c:extLst>
            <c:ext xmlns:c16="http://schemas.microsoft.com/office/drawing/2014/chart" uri="{C3380CC4-5D6E-409C-BE32-E72D297353CC}">
              <c16:uniqueId val="{00000000-E747-E048-9B53-DF232203DB0A}"/>
            </c:ext>
          </c:extLst>
        </c:ser>
        <c:ser>
          <c:idx val="1"/>
          <c:order val="1"/>
          <c:tx>
            <c:strRef>
              <c:f>'September 8, 2020'!$C$2:$C$3</c:f>
              <c:strCache>
                <c:ptCount val="2"/>
                <c:pt idx="0">
                  <c:v>Total ICU</c:v>
                </c:pt>
                <c:pt idx="1">
                  <c:v>57</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747-E048-9B53-DF232203DB0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8,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8, 2020'!$C$4:$C$16</c:f>
              <c:numCache>
                <c:formatCode>General</c:formatCode>
                <c:ptCount val="13"/>
                <c:pt idx="0">
                  <c:v>12</c:v>
                </c:pt>
                <c:pt idx="1">
                  <c:v>9</c:v>
                </c:pt>
                <c:pt idx="2">
                  <c:v>17</c:v>
                </c:pt>
                <c:pt idx="3">
                  <c:v>15</c:v>
                </c:pt>
                <c:pt idx="4">
                  <c:v>0</c:v>
                </c:pt>
                <c:pt idx="5">
                  <c:v>0</c:v>
                </c:pt>
                <c:pt idx="6">
                  <c:v>3</c:v>
                </c:pt>
                <c:pt idx="7">
                  <c:v>0</c:v>
                </c:pt>
                <c:pt idx="8">
                  <c:v>1</c:v>
                </c:pt>
                <c:pt idx="9">
                  <c:v>0</c:v>
                </c:pt>
                <c:pt idx="10">
                  <c:v>0</c:v>
                </c:pt>
                <c:pt idx="11">
                  <c:v>0</c:v>
                </c:pt>
                <c:pt idx="12">
                  <c:v>0</c:v>
                </c:pt>
              </c:numCache>
            </c:numRef>
          </c:val>
          <c:extLst>
            <c:ext xmlns:c16="http://schemas.microsoft.com/office/drawing/2014/chart" uri="{C3380CC4-5D6E-409C-BE32-E72D297353CC}">
              <c16:uniqueId val="{00000002-E747-E048-9B53-DF232203DB0A}"/>
            </c:ext>
          </c:extLst>
        </c:ser>
        <c:dLbls>
          <c:dLblPos val="outEnd"/>
          <c:showLegendKey val="0"/>
          <c:showVal val="1"/>
          <c:showCatName val="0"/>
          <c:showSerName val="0"/>
          <c:showPercent val="0"/>
          <c:showBubbleSize val="0"/>
        </c:dLbls>
        <c:gapWidth val="100"/>
        <c:overlap val="-24"/>
        <c:axId val="514249264"/>
        <c:axId val="514256320"/>
      </c:barChart>
      <c:catAx>
        <c:axId val="51424926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56320"/>
        <c:crosses val="autoZero"/>
        <c:auto val="1"/>
        <c:lblAlgn val="ctr"/>
        <c:lblOffset val="100"/>
        <c:noMultiLvlLbl val="0"/>
      </c:catAx>
      <c:valAx>
        <c:axId val="51425632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49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2020-09-04</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'September 4, 2020'!$B$2:$B$3</c:f>
              <c:strCache>
                <c:ptCount val="2"/>
                <c:pt idx="0">
                  <c:v>Total Hospital</c:v>
                </c:pt>
                <c:pt idx="1">
                  <c:v>234</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4,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4, 2020'!$B$4:$B$16</c:f>
              <c:numCache>
                <c:formatCode>General</c:formatCode>
                <c:ptCount val="13"/>
                <c:pt idx="0">
                  <c:v>34</c:v>
                </c:pt>
                <c:pt idx="1">
                  <c:v>46</c:v>
                </c:pt>
                <c:pt idx="2" formatCode="0">
                  <c:v>60</c:v>
                </c:pt>
                <c:pt idx="3">
                  <c:v>80</c:v>
                </c:pt>
                <c:pt idx="4">
                  <c:v>0</c:v>
                </c:pt>
                <c:pt idx="5">
                  <c:v>0</c:v>
                </c:pt>
                <c:pt idx="6">
                  <c:v>12</c:v>
                </c:pt>
                <c:pt idx="7">
                  <c:v>0</c:v>
                </c:pt>
                <c:pt idx="8">
                  <c:v>2</c:v>
                </c:pt>
                <c:pt idx="9">
                  <c:v>0</c:v>
                </c:pt>
                <c:pt idx="10">
                  <c:v>0</c:v>
                </c:pt>
                <c:pt idx="11">
                  <c:v>0</c:v>
                </c:pt>
                <c:pt idx="12">
                  <c:v>0</c:v>
                </c:pt>
              </c:numCache>
            </c:numRef>
          </c:val>
          <c:extLst>
            <c:ext xmlns:c16="http://schemas.microsoft.com/office/drawing/2014/chart" uri="{C3380CC4-5D6E-409C-BE32-E72D297353CC}">
              <c16:uniqueId val="{00000000-7104-9049-8176-82C7FE82C4BC}"/>
            </c:ext>
          </c:extLst>
        </c:ser>
        <c:ser>
          <c:idx val="1"/>
          <c:order val="1"/>
          <c:tx>
            <c:strRef>
              <c:f>'September 4, 2020'!$C$2:$C$3</c:f>
              <c:strCache>
                <c:ptCount val="2"/>
                <c:pt idx="0">
                  <c:v>Total ICU</c:v>
                </c:pt>
                <c:pt idx="1">
                  <c:v>54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104-9049-8176-82C7FE82C4B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4,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4, 2020'!$C$4:$C$16</c:f>
              <c:numCache>
                <c:formatCode>General</c:formatCode>
                <c:ptCount val="13"/>
                <c:pt idx="0">
                  <c:v>11</c:v>
                </c:pt>
                <c:pt idx="1">
                  <c:v>9</c:v>
                </c:pt>
                <c:pt idx="2">
                  <c:v>12</c:v>
                </c:pt>
                <c:pt idx="3">
                  <c:v>20</c:v>
                </c:pt>
                <c:pt idx="4">
                  <c:v>0</c:v>
                </c:pt>
                <c:pt idx="5">
                  <c:v>0</c:v>
                </c:pt>
                <c:pt idx="6">
                  <c:v>1</c:v>
                </c:pt>
                <c:pt idx="7">
                  <c:v>0</c:v>
                </c:pt>
                <c:pt idx="8">
                  <c:v>1</c:v>
                </c:pt>
                <c:pt idx="9">
                  <c:v>0</c:v>
                </c:pt>
                <c:pt idx="10">
                  <c:v>0</c:v>
                </c:pt>
                <c:pt idx="11">
                  <c:v>0</c:v>
                </c:pt>
                <c:pt idx="12">
                  <c:v>0</c:v>
                </c:pt>
              </c:numCache>
            </c:numRef>
          </c:val>
          <c:extLst>
            <c:ext xmlns:c16="http://schemas.microsoft.com/office/drawing/2014/chart" uri="{C3380CC4-5D6E-409C-BE32-E72D297353CC}">
              <c16:uniqueId val="{00000002-7104-9049-8176-82C7FE82C4BC}"/>
            </c:ext>
          </c:extLst>
        </c:ser>
        <c:dLbls>
          <c:dLblPos val="outEnd"/>
          <c:showLegendKey val="0"/>
          <c:showVal val="1"/>
          <c:showCatName val="0"/>
          <c:showSerName val="0"/>
          <c:showPercent val="0"/>
          <c:showBubbleSize val="0"/>
        </c:dLbls>
        <c:gapWidth val="100"/>
        <c:overlap val="-24"/>
        <c:axId val="514246128"/>
        <c:axId val="514246520"/>
      </c:barChart>
      <c:catAx>
        <c:axId val="51424612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46520"/>
        <c:crosses val="autoZero"/>
        <c:auto val="1"/>
        <c:lblAlgn val="ctr"/>
        <c:lblOffset val="100"/>
        <c:noMultiLvlLbl val="0"/>
      </c:catAx>
      <c:valAx>
        <c:axId val="51424652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46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2020-09-02</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'September 2, 2020'!$B$2:$B$3</c:f>
              <c:strCache>
                <c:ptCount val="2"/>
                <c:pt idx="0">
                  <c:v>Total Hospital</c:v>
                </c:pt>
                <c:pt idx="1">
                  <c:v>247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2,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2, 2020'!$B$4:$B$16</c:f>
              <c:numCache>
                <c:formatCode>General</c:formatCode>
                <c:ptCount val="13"/>
                <c:pt idx="0">
                  <c:v>31</c:v>
                </c:pt>
                <c:pt idx="1">
                  <c:v>50</c:v>
                </c:pt>
                <c:pt idx="2" formatCode="0">
                  <c:v>60</c:v>
                </c:pt>
                <c:pt idx="3">
                  <c:v>89</c:v>
                </c:pt>
                <c:pt idx="4">
                  <c:v>0</c:v>
                </c:pt>
                <c:pt idx="5">
                  <c:v>0</c:v>
                </c:pt>
                <c:pt idx="6">
                  <c:v>14</c:v>
                </c:pt>
                <c:pt idx="7">
                  <c:v>0</c:v>
                </c:pt>
                <c:pt idx="8">
                  <c:v>3</c:v>
                </c:pt>
                <c:pt idx="9">
                  <c:v>0</c:v>
                </c:pt>
                <c:pt idx="10">
                  <c:v>0</c:v>
                </c:pt>
                <c:pt idx="11">
                  <c:v>0</c:v>
                </c:pt>
                <c:pt idx="12">
                  <c:v>0</c:v>
                </c:pt>
              </c:numCache>
            </c:numRef>
          </c:val>
          <c:extLst>
            <c:ext xmlns:c16="http://schemas.microsoft.com/office/drawing/2014/chart" uri="{C3380CC4-5D6E-409C-BE32-E72D297353CC}">
              <c16:uniqueId val="{00000000-4215-3443-954B-E677AD65E339}"/>
            </c:ext>
          </c:extLst>
        </c:ser>
        <c:ser>
          <c:idx val="1"/>
          <c:order val="1"/>
          <c:tx>
            <c:strRef>
              <c:f>'September 2, 2020'!$C$2:$C$3</c:f>
              <c:strCache>
                <c:ptCount val="2"/>
                <c:pt idx="0">
                  <c:v>Total ICU</c:v>
                </c:pt>
                <c:pt idx="1">
                  <c:v>55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15-3443-954B-E677AD65E33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2,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2, 2020'!$C$4:$C$16</c:f>
              <c:numCache>
                <c:formatCode>General</c:formatCode>
                <c:ptCount val="13"/>
                <c:pt idx="0">
                  <c:v>10</c:v>
                </c:pt>
                <c:pt idx="1">
                  <c:v>10</c:v>
                </c:pt>
                <c:pt idx="2">
                  <c:v>13</c:v>
                </c:pt>
                <c:pt idx="3">
                  <c:v>20</c:v>
                </c:pt>
                <c:pt idx="4">
                  <c:v>0</c:v>
                </c:pt>
                <c:pt idx="5">
                  <c:v>0</c:v>
                </c:pt>
                <c:pt idx="6">
                  <c:v>1</c:v>
                </c:pt>
                <c:pt idx="7">
                  <c:v>0</c:v>
                </c:pt>
                <c:pt idx="8">
                  <c:v>1</c:v>
                </c:pt>
                <c:pt idx="9">
                  <c:v>0</c:v>
                </c:pt>
                <c:pt idx="10">
                  <c:v>0</c:v>
                </c:pt>
                <c:pt idx="11">
                  <c:v>0</c:v>
                </c:pt>
                <c:pt idx="12">
                  <c:v>0</c:v>
                </c:pt>
              </c:numCache>
            </c:numRef>
          </c:val>
          <c:extLst>
            <c:ext xmlns:c16="http://schemas.microsoft.com/office/drawing/2014/chart" uri="{C3380CC4-5D6E-409C-BE32-E72D297353CC}">
              <c16:uniqueId val="{00000002-4215-3443-954B-E677AD65E339}"/>
            </c:ext>
          </c:extLst>
        </c:ser>
        <c:dLbls>
          <c:dLblPos val="outEnd"/>
          <c:showLegendKey val="0"/>
          <c:showVal val="1"/>
          <c:showCatName val="0"/>
          <c:showSerName val="0"/>
          <c:showPercent val="0"/>
          <c:showBubbleSize val="0"/>
        </c:dLbls>
        <c:gapWidth val="100"/>
        <c:overlap val="-24"/>
        <c:axId val="514247304"/>
        <c:axId val="514247696"/>
      </c:barChart>
      <c:catAx>
        <c:axId val="51424730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47696"/>
        <c:crosses val="autoZero"/>
        <c:auto val="1"/>
        <c:lblAlgn val="ctr"/>
        <c:lblOffset val="100"/>
        <c:noMultiLvlLbl val="0"/>
      </c:catAx>
      <c:valAx>
        <c:axId val="51424769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47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2020-08-31</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'August 31, 2020'!$B$2:$B$3</c:f>
              <c:strCache>
                <c:ptCount val="2"/>
                <c:pt idx="0">
                  <c:v>Total Hospital</c:v>
                </c:pt>
                <c:pt idx="1">
                  <c:v>219</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31,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31, 2020'!$B$4:$B$16</c:f>
              <c:numCache>
                <c:formatCode>General</c:formatCode>
                <c:ptCount val="13"/>
                <c:pt idx="0">
                  <c:v>23</c:v>
                </c:pt>
                <c:pt idx="1">
                  <c:v>44</c:v>
                </c:pt>
                <c:pt idx="2" formatCode="0">
                  <c:v>49</c:v>
                </c:pt>
                <c:pt idx="3">
                  <c:v>94</c:v>
                </c:pt>
                <c:pt idx="4">
                  <c:v>0</c:v>
                </c:pt>
                <c:pt idx="5">
                  <c:v>0</c:v>
                </c:pt>
                <c:pt idx="6">
                  <c:v>6</c:v>
                </c:pt>
                <c:pt idx="7">
                  <c:v>0</c:v>
                </c:pt>
                <c:pt idx="8">
                  <c:v>3</c:v>
                </c:pt>
                <c:pt idx="9">
                  <c:v>0</c:v>
                </c:pt>
                <c:pt idx="10">
                  <c:v>0</c:v>
                </c:pt>
                <c:pt idx="11">
                  <c:v>0</c:v>
                </c:pt>
                <c:pt idx="12">
                  <c:v>0</c:v>
                </c:pt>
              </c:numCache>
            </c:numRef>
          </c:val>
          <c:extLst>
            <c:ext xmlns:c16="http://schemas.microsoft.com/office/drawing/2014/chart" uri="{C3380CC4-5D6E-409C-BE32-E72D297353CC}">
              <c16:uniqueId val="{00000000-2FF2-B74C-9E4D-D54812847E1C}"/>
            </c:ext>
          </c:extLst>
        </c:ser>
        <c:ser>
          <c:idx val="1"/>
          <c:order val="1"/>
          <c:tx>
            <c:strRef>
              <c:f>'August 31, 2020'!$C$2:$C$3</c:f>
              <c:strCache>
                <c:ptCount val="2"/>
                <c:pt idx="0">
                  <c:v>Total ICU</c:v>
                </c:pt>
                <c:pt idx="1">
                  <c:v>52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FF2-B74C-9E4D-D54812847E1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31,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31, 2020'!$C$4:$C$16</c:f>
              <c:numCache>
                <c:formatCode>General</c:formatCode>
                <c:ptCount val="13"/>
                <c:pt idx="0">
                  <c:v>7</c:v>
                </c:pt>
                <c:pt idx="1">
                  <c:v>7</c:v>
                </c:pt>
                <c:pt idx="2">
                  <c:v>18</c:v>
                </c:pt>
                <c:pt idx="3">
                  <c:v>18</c:v>
                </c:pt>
                <c:pt idx="4">
                  <c:v>0</c:v>
                </c:pt>
                <c:pt idx="5">
                  <c:v>0</c:v>
                </c:pt>
                <c:pt idx="6">
                  <c:v>1</c:v>
                </c:pt>
                <c:pt idx="7">
                  <c:v>0</c:v>
                </c:pt>
                <c:pt idx="8">
                  <c:v>1</c:v>
                </c:pt>
                <c:pt idx="9">
                  <c:v>0</c:v>
                </c:pt>
                <c:pt idx="10">
                  <c:v>0</c:v>
                </c:pt>
                <c:pt idx="11">
                  <c:v>0</c:v>
                </c:pt>
                <c:pt idx="12">
                  <c:v>0</c:v>
                </c:pt>
              </c:numCache>
            </c:numRef>
          </c:val>
          <c:extLst>
            <c:ext xmlns:c16="http://schemas.microsoft.com/office/drawing/2014/chart" uri="{C3380CC4-5D6E-409C-BE32-E72D297353CC}">
              <c16:uniqueId val="{00000002-2FF2-B74C-9E4D-D54812847E1C}"/>
            </c:ext>
          </c:extLst>
        </c:ser>
        <c:dLbls>
          <c:dLblPos val="outEnd"/>
          <c:showLegendKey val="0"/>
          <c:showVal val="1"/>
          <c:showCatName val="0"/>
          <c:showSerName val="0"/>
          <c:showPercent val="0"/>
          <c:showBubbleSize val="0"/>
        </c:dLbls>
        <c:gapWidth val="100"/>
        <c:overlap val="-24"/>
        <c:axId val="514250832"/>
        <c:axId val="514251224"/>
      </c:barChart>
      <c:catAx>
        <c:axId val="51425083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51224"/>
        <c:crosses val="autoZero"/>
        <c:auto val="1"/>
        <c:lblAlgn val="ctr"/>
        <c:lblOffset val="100"/>
        <c:noMultiLvlLbl val="0"/>
      </c:catAx>
      <c:valAx>
        <c:axId val="51425122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508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2020-08-28</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'August 28, 2020'!$B$2:$B$3</c:f>
              <c:strCache>
                <c:ptCount val="2"/>
                <c:pt idx="0">
                  <c:v>Total Hospital</c:v>
                </c:pt>
                <c:pt idx="1">
                  <c:v>241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28,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28, 2020'!$B$4:$B$16</c:f>
              <c:numCache>
                <c:formatCode>General</c:formatCode>
                <c:ptCount val="13"/>
                <c:pt idx="0">
                  <c:v>22</c:v>
                </c:pt>
                <c:pt idx="1">
                  <c:v>49</c:v>
                </c:pt>
                <c:pt idx="2" formatCode="0">
                  <c:v>61</c:v>
                </c:pt>
                <c:pt idx="3">
                  <c:v>100</c:v>
                </c:pt>
                <c:pt idx="4">
                  <c:v>0</c:v>
                </c:pt>
                <c:pt idx="5">
                  <c:v>0</c:v>
                </c:pt>
                <c:pt idx="6">
                  <c:v>6</c:v>
                </c:pt>
                <c:pt idx="7">
                  <c:v>0</c:v>
                </c:pt>
                <c:pt idx="8">
                  <c:v>3</c:v>
                </c:pt>
                <c:pt idx="9">
                  <c:v>0</c:v>
                </c:pt>
                <c:pt idx="10">
                  <c:v>0</c:v>
                </c:pt>
                <c:pt idx="11">
                  <c:v>0</c:v>
                </c:pt>
                <c:pt idx="12">
                  <c:v>0</c:v>
                </c:pt>
              </c:numCache>
            </c:numRef>
          </c:val>
          <c:extLst>
            <c:ext xmlns:c16="http://schemas.microsoft.com/office/drawing/2014/chart" uri="{C3380CC4-5D6E-409C-BE32-E72D297353CC}">
              <c16:uniqueId val="{00000000-781B-3E43-9BC3-255D4757A18E}"/>
            </c:ext>
          </c:extLst>
        </c:ser>
        <c:ser>
          <c:idx val="1"/>
          <c:order val="1"/>
          <c:tx>
            <c:strRef>
              <c:f>'August 28, 2020'!$C$2:$C$3</c:f>
              <c:strCache>
                <c:ptCount val="2"/>
                <c:pt idx="0">
                  <c:v>Total ICU</c:v>
                </c:pt>
                <c:pt idx="1">
                  <c:v>50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81B-3E43-9BC3-255D4757A18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28,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28, 2020'!$C$4:$C$16</c:f>
              <c:numCache>
                <c:formatCode>General</c:formatCode>
                <c:ptCount val="13"/>
                <c:pt idx="0">
                  <c:v>7</c:v>
                </c:pt>
                <c:pt idx="1">
                  <c:v>7</c:v>
                </c:pt>
                <c:pt idx="2">
                  <c:v>18</c:v>
                </c:pt>
                <c:pt idx="3">
                  <c:v>15</c:v>
                </c:pt>
                <c:pt idx="4">
                  <c:v>0</c:v>
                </c:pt>
                <c:pt idx="5">
                  <c:v>0</c:v>
                </c:pt>
                <c:pt idx="6">
                  <c:v>1</c:v>
                </c:pt>
                <c:pt idx="7">
                  <c:v>0</c:v>
                </c:pt>
                <c:pt idx="8">
                  <c:v>2</c:v>
                </c:pt>
                <c:pt idx="9">
                  <c:v>0</c:v>
                </c:pt>
                <c:pt idx="10">
                  <c:v>0</c:v>
                </c:pt>
                <c:pt idx="11">
                  <c:v>0</c:v>
                </c:pt>
                <c:pt idx="12">
                  <c:v>0</c:v>
                </c:pt>
              </c:numCache>
            </c:numRef>
          </c:val>
          <c:extLst>
            <c:ext xmlns:c16="http://schemas.microsoft.com/office/drawing/2014/chart" uri="{C3380CC4-5D6E-409C-BE32-E72D297353CC}">
              <c16:uniqueId val="{00000002-781B-3E43-9BC3-255D4757A18E}"/>
            </c:ext>
          </c:extLst>
        </c:ser>
        <c:dLbls>
          <c:dLblPos val="outEnd"/>
          <c:showLegendKey val="0"/>
          <c:showVal val="1"/>
          <c:showCatName val="0"/>
          <c:showSerName val="0"/>
          <c:showPercent val="0"/>
          <c:showBubbleSize val="0"/>
        </c:dLbls>
        <c:gapWidth val="100"/>
        <c:overlap val="-24"/>
        <c:axId val="514252008"/>
        <c:axId val="514253184"/>
      </c:barChart>
      <c:catAx>
        <c:axId val="51425200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53184"/>
        <c:crosses val="autoZero"/>
        <c:auto val="1"/>
        <c:lblAlgn val="ctr"/>
        <c:lblOffset val="100"/>
        <c:noMultiLvlLbl val="0"/>
      </c:catAx>
      <c:valAx>
        <c:axId val="51425318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52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2020-08-26</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'August 26, 2020'!$B$2:$B$3</c:f>
              <c:strCache>
                <c:ptCount val="2"/>
                <c:pt idx="0">
                  <c:v>Total Hospital</c:v>
                </c:pt>
                <c:pt idx="1">
                  <c:v>221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26,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26, 2020'!$B$4:$B$16</c:f>
              <c:numCache>
                <c:formatCode>General</c:formatCode>
                <c:ptCount val="13"/>
                <c:pt idx="0">
                  <c:v>22</c:v>
                </c:pt>
                <c:pt idx="1">
                  <c:v>46</c:v>
                </c:pt>
                <c:pt idx="2" formatCode="0">
                  <c:v>43</c:v>
                </c:pt>
                <c:pt idx="3">
                  <c:v>98</c:v>
                </c:pt>
                <c:pt idx="4">
                  <c:v>0</c:v>
                </c:pt>
                <c:pt idx="5">
                  <c:v>0</c:v>
                </c:pt>
                <c:pt idx="6">
                  <c:v>8</c:v>
                </c:pt>
                <c:pt idx="7">
                  <c:v>0</c:v>
                </c:pt>
                <c:pt idx="8">
                  <c:v>4</c:v>
                </c:pt>
                <c:pt idx="9">
                  <c:v>0</c:v>
                </c:pt>
                <c:pt idx="10">
                  <c:v>0</c:v>
                </c:pt>
                <c:pt idx="11">
                  <c:v>0</c:v>
                </c:pt>
                <c:pt idx="12">
                  <c:v>0</c:v>
                </c:pt>
              </c:numCache>
            </c:numRef>
          </c:val>
          <c:extLst>
            <c:ext xmlns:c16="http://schemas.microsoft.com/office/drawing/2014/chart" uri="{C3380CC4-5D6E-409C-BE32-E72D297353CC}">
              <c16:uniqueId val="{00000000-C6F6-954E-83B8-6C92E87E7C8C}"/>
            </c:ext>
          </c:extLst>
        </c:ser>
        <c:ser>
          <c:idx val="1"/>
          <c:order val="1"/>
          <c:tx>
            <c:strRef>
              <c:f>'August 26, 2020'!$C$2:$C$3</c:f>
              <c:strCache>
                <c:ptCount val="2"/>
                <c:pt idx="0">
                  <c:v>Total ICU</c:v>
                </c:pt>
                <c:pt idx="1">
                  <c:v>45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6F6-954E-83B8-6C92E87E7C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26,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26, 2020'!$C$4:$C$16</c:f>
              <c:numCache>
                <c:formatCode>General</c:formatCode>
                <c:ptCount val="13"/>
                <c:pt idx="0">
                  <c:v>7</c:v>
                </c:pt>
                <c:pt idx="1">
                  <c:v>7</c:v>
                </c:pt>
                <c:pt idx="2">
                  <c:v>15</c:v>
                </c:pt>
                <c:pt idx="3">
                  <c:v>12</c:v>
                </c:pt>
                <c:pt idx="4">
                  <c:v>0</c:v>
                </c:pt>
                <c:pt idx="5">
                  <c:v>0</c:v>
                </c:pt>
                <c:pt idx="6">
                  <c:v>1</c:v>
                </c:pt>
                <c:pt idx="7">
                  <c:v>0</c:v>
                </c:pt>
                <c:pt idx="8">
                  <c:v>3</c:v>
                </c:pt>
                <c:pt idx="9">
                  <c:v>0</c:v>
                </c:pt>
                <c:pt idx="10">
                  <c:v>0</c:v>
                </c:pt>
                <c:pt idx="11">
                  <c:v>0</c:v>
                </c:pt>
                <c:pt idx="12">
                  <c:v>0</c:v>
                </c:pt>
              </c:numCache>
            </c:numRef>
          </c:val>
          <c:extLst>
            <c:ext xmlns:c16="http://schemas.microsoft.com/office/drawing/2014/chart" uri="{C3380CC4-5D6E-409C-BE32-E72D297353CC}">
              <c16:uniqueId val="{00000002-C6F6-954E-83B8-6C92E87E7C8C}"/>
            </c:ext>
          </c:extLst>
        </c:ser>
        <c:dLbls>
          <c:dLblPos val="outEnd"/>
          <c:showLegendKey val="0"/>
          <c:showVal val="1"/>
          <c:showCatName val="0"/>
          <c:showSerName val="0"/>
          <c:showPercent val="0"/>
          <c:showBubbleSize val="0"/>
        </c:dLbls>
        <c:gapWidth val="100"/>
        <c:overlap val="-24"/>
        <c:axId val="514253968"/>
        <c:axId val="528120752"/>
      </c:barChart>
      <c:catAx>
        <c:axId val="5142539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20752"/>
        <c:crosses val="autoZero"/>
        <c:auto val="1"/>
        <c:lblAlgn val="ctr"/>
        <c:lblOffset val="100"/>
        <c:noMultiLvlLbl val="0"/>
      </c:catAx>
      <c:valAx>
        <c:axId val="52812075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53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2022-04-01</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'April 1, 2022'!$B$2:$B$3</c:f>
              <c:strCache>
                <c:ptCount val="2"/>
                <c:pt idx="0">
                  <c:v>Total Hospital</c:v>
                </c:pt>
                <c:pt idx="1">
                  <c:v>4050</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1,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1, 2022'!$B$4:$B$16</c:f>
              <c:numCache>
                <c:formatCode>General</c:formatCode>
                <c:ptCount val="13"/>
                <c:pt idx="0">
                  <c:v>281</c:v>
                </c:pt>
                <c:pt idx="1">
                  <c:v>964</c:v>
                </c:pt>
                <c:pt idx="2" formatCode="0">
                  <c:v>804</c:v>
                </c:pt>
                <c:pt idx="3" formatCode="#,##0">
                  <c:v>1275</c:v>
                </c:pt>
                <c:pt idx="4">
                  <c:v>51</c:v>
                </c:pt>
                <c:pt idx="5">
                  <c:v>142</c:v>
                </c:pt>
                <c:pt idx="6">
                  <c:v>111</c:v>
                </c:pt>
                <c:pt idx="7">
                  <c:v>19</c:v>
                </c:pt>
                <c:pt idx="8">
                  <c:v>324</c:v>
                </c:pt>
                <c:pt idx="9">
                  <c:v>38</c:v>
                </c:pt>
                <c:pt idx="10">
                  <c:v>8</c:v>
                </c:pt>
                <c:pt idx="11">
                  <c:v>0</c:v>
                </c:pt>
                <c:pt idx="12">
                  <c:v>33</c:v>
                </c:pt>
              </c:numCache>
            </c:numRef>
          </c:val>
          <c:extLst>
            <c:ext xmlns:c16="http://schemas.microsoft.com/office/drawing/2014/chart" uri="{C3380CC4-5D6E-409C-BE32-E72D297353CC}">
              <c16:uniqueId val="{00000000-EDA9-447A-B34A-7F5482B615D8}"/>
            </c:ext>
          </c:extLst>
        </c:ser>
        <c:ser>
          <c:idx val="1"/>
          <c:order val="1"/>
          <c:tx>
            <c:strRef>
              <c:f>'April 1, 2022'!$C$2:$C$3</c:f>
              <c:strCache>
                <c:ptCount val="2"/>
                <c:pt idx="0">
                  <c:v>Total ICU</c:v>
                </c:pt>
                <c:pt idx="1">
                  <c:v>386</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1,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1, 2022'!$C$4:$C$16</c:f>
              <c:numCache>
                <c:formatCode>General</c:formatCode>
                <c:ptCount val="13"/>
                <c:pt idx="0">
                  <c:v>42</c:v>
                </c:pt>
                <c:pt idx="1">
                  <c:v>47</c:v>
                </c:pt>
                <c:pt idx="2">
                  <c:v>167</c:v>
                </c:pt>
                <c:pt idx="3">
                  <c:v>62</c:v>
                </c:pt>
                <c:pt idx="4">
                  <c:v>11</c:v>
                </c:pt>
                <c:pt idx="5">
                  <c:v>8</c:v>
                </c:pt>
                <c:pt idx="6">
                  <c:v>16</c:v>
                </c:pt>
                <c:pt idx="7">
                  <c:v>1</c:v>
                </c:pt>
                <c:pt idx="8">
                  <c:v>21</c:v>
                </c:pt>
                <c:pt idx="9">
                  <c:v>11</c:v>
                </c:pt>
                <c:pt idx="10">
                  <c:v>0</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42032"/>
        <c:axId val="451741640"/>
      </c:barChart>
      <c:catAx>
        <c:axId val="45174203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41640"/>
        <c:crosses val="autoZero"/>
        <c:auto val="1"/>
        <c:lblAlgn val="ctr"/>
        <c:lblOffset val="100"/>
        <c:noMultiLvlLbl val="0"/>
      </c:catAx>
      <c:valAx>
        <c:axId val="45174164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42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2020-08-24</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'August 24, 2020'!$B$2:$B$3</c:f>
              <c:strCache>
                <c:ptCount val="2"/>
                <c:pt idx="0">
                  <c:v>Total Hospital</c:v>
                </c:pt>
                <c:pt idx="1">
                  <c:v>212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24,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24, 2020'!$B$4:$B$16</c:f>
              <c:numCache>
                <c:formatCode>General</c:formatCode>
                <c:ptCount val="13"/>
                <c:pt idx="0">
                  <c:v>13</c:v>
                </c:pt>
                <c:pt idx="1">
                  <c:v>43</c:v>
                </c:pt>
                <c:pt idx="2" formatCode="0">
                  <c:v>41</c:v>
                </c:pt>
                <c:pt idx="3">
                  <c:v>103</c:v>
                </c:pt>
                <c:pt idx="4">
                  <c:v>0</c:v>
                </c:pt>
                <c:pt idx="5">
                  <c:v>0</c:v>
                </c:pt>
                <c:pt idx="6">
                  <c:v>7</c:v>
                </c:pt>
                <c:pt idx="7">
                  <c:v>0</c:v>
                </c:pt>
                <c:pt idx="8">
                  <c:v>5</c:v>
                </c:pt>
                <c:pt idx="9">
                  <c:v>0</c:v>
                </c:pt>
                <c:pt idx="10">
                  <c:v>0</c:v>
                </c:pt>
                <c:pt idx="11">
                  <c:v>0</c:v>
                </c:pt>
                <c:pt idx="12">
                  <c:v>0</c:v>
                </c:pt>
              </c:numCache>
            </c:numRef>
          </c:val>
          <c:extLst>
            <c:ext xmlns:c16="http://schemas.microsoft.com/office/drawing/2014/chart" uri="{C3380CC4-5D6E-409C-BE32-E72D297353CC}">
              <c16:uniqueId val="{00000000-FAF6-A24F-A8F8-65A316A70E1D}"/>
            </c:ext>
          </c:extLst>
        </c:ser>
        <c:ser>
          <c:idx val="1"/>
          <c:order val="1"/>
          <c:tx>
            <c:strRef>
              <c:f>'August 24, 2020'!$C$2:$C$3</c:f>
              <c:strCache>
                <c:ptCount val="2"/>
                <c:pt idx="0">
                  <c:v>Total ICU</c:v>
                </c:pt>
                <c:pt idx="1">
                  <c:v>44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F6-A24F-A8F8-65A316A70E1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24,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24, 2020'!$C$4:$C$16</c:f>
              <c:numCache>
                <c:formatCode>General</c:formatCode>
                <c:ptCount val="13"/>
                <c:pt idx="0">
                  <c:v>5</c:v>
                </c:pt>
                <c:pt idx="1">
                  <c:v>9</c:v>
                </c:pt>
                <c:pt idx="2">
                  <c:v>11</c:v>
                </c:pt>
                <c:pt idx="3">
                  <c:v>14</c:v>
                </c:pt>
                <c:pt idx="4">
                  <c:v>0</c:v>
                </c:pt>
                <c:pt idx="5">
                  <c:v>0</c:v>
                </c:pt>
                <c:pt idx="6">
                  <c:v>1</c:v>
                </c:pt>
                <c:pt idx="7">
                  <c:v>0</c:v>
                </c:pt>
                <c:pt idx="8">
                  <c:v>4</c:v>
                </c:pt>
                <c:pt idx="9">
                  <c:v>0</c:v>
                </c:pt>
                <c:pt idx="10">
                  <c:v>0</c:v>
                </c:pt>
                <c:pt idx="11">
                  <c:v>0</c:v>
                </c:pt>
                <c:pt idx="12">
                  <c:v>0</c:v>
                </c:pt>
              </c:numCache>
            </c:numRef>
          </c:val>
          <c:extLst>
            <c:ext xmlns:c16="http://schemas.microsoft.com/office/drawing/2014/chart" uri="{C3380CC4-5D6E-409C-BE32-E72D297353CC}">
              <c16:uniqueId val="{00000002-FAF6-A24F-A8F8-65A316A70E1D}"/>
            </c:ext>
          </c:extLst>
        </c:ser>
        <c:dLbls>
          <c:dLblPos val="outEnd"/>
          <c:showLegendKey val="0"/>
          <c:showVal val="1"/>
          <c:showCatName val="0"/>
          <c:showSerName val="0"/>
          <c:showPercent val="0"/>
          <c:showBubbleSize val="0"/>
        </c:dLbls>
        <c:gapWidth val="100"/>
        <c:overlap val="-24"/>
        <c:axId val="528114088"/>
        <c:axId val="528119576"/>
      </c:barChart>
      <c:catAx>
        <c:axId val="52811408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19576"/>
        <c:crosses val="autoZero"/>
        <c:auto val="1"/>
        <c:lblAlgn val="ctr"/>
        <c:lblOffset val="100"/>
        <c:noMultiLvlLbl val="0"/>
      </c:catAx>
      <c:valAx>
        <c:axId val="52811957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140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2020-08-21</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'August 21, 2020'!$B$2:$B$3</c:f>
              <c:strCache>
                <c:ptCount val="2"/>
                <c:pt idx="0">
                  <c:v>Total Hospital</c:v>
                </c:pt>
                <c:pt idx="1">
                  <c:v>224</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21,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21, 2020'!$B$4:$B$16</c:f>
              <c:numCache>
                <c:formatCode>General</c:formatCode>
                <c:ptCount val="13"/>
                <c:pt idx="0">
                  <c:v>11</c:v>
                </c:pt>
                <c:pt idx="1">
                  <c:v>43</c:v>
                </c:pt>
                <c:pt idx="2" formatCode="0">
                  <c:v>35</c:v>
                </c:pt>
                <c:pt idx="3">
                  <c:v>121</c:v>
                </c:pt>
                <c:pt idx="4">
                  <c:v>1</c:v>
                </c:pt>
                <c:pt idx="5">
                  <c:v>0</c:v>
                </c:pt>
                <c:pt idx="6">
                  <c:v>8</c:v>
                </c:pt>
                <c:pt idx="7">
                  <c:v>0</c:v>
                </c:pt>
                <c:pt idx="8">
                  <c:v>5</c:v>
                </c:pt>
                <c:pt idx="9">
                  <c:v>0</c:v>
                </c:pt>
                <c:pt idx="10">
                  <c:v>0</c:v>
                </c:pt>
                <c:pt idx="11">
                  <c:v>0</c:v>
                </c:pt>
                <c:pt idx="12">
                  <c:v>0</c:v>
                </c:pt>
              </c:numCache>
            </c:numRef>
          </c:val>
          <c:extLst>
            <c:ext xmlns:c16="http://schemas.microsoft.com/office/drawing/2014/chart" uri="{C3380CC4-5D6E-409C-BE32-E72D297353CC}">
              <c16:uniqueId val="{00000000-0C2B-0C40-81D4-5D446BB90C07}"/>
            </c:ext>
          </c:extLst>
        </c:ser>
        <c:ser>
          <c:idx val="1"/>
          <c:order val="1"/>
          <c:tx>
            <c:strRef>
              <c:f>'August 21, 2020'!$C$2:$C$3</c:f>
              <c:strCache>
                <c:ptCount val="2"/>
                <c:pt idx="0">
                  <c:v>Total ICU</c:v>
                </c:pt>
                <c:pt idx="1">
                  <c:v>62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2B-0C40-81D4-5D446BB90C0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21,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21, 2020'!$C$4:$C$16</c:f>
              <c:numCache>
                <c:formatCode>General</c:formatCode>
                <c:ptCount val="13"/>
                <c:pt idx="0">
                  <c:v>4</c:v>
                </c:pt>
                <c:pt idx="1">
                  <c:v>12</c:v>
                </c:pt>
                <c:pt idx="2">
                  <c:v>15</c:v>
                </c:pt>
                <c:pt idx="3">
                  <c:v>25</c:v>
                </c:pt>
                <c:pt idx="4">
                  <c:v>0</c:v>
                </c:pt>
                <c:pt idx="5">
                  <c:v>0</c:v>
                </c:pt>
                <c:pt idx="6">
                  <c:v>2</c:v>
                </c:pt>
                <c:pt idx="7">
                  <c:v>0</c:v>
                </c:pt>
                <c:pt idx="8">
                  <c:v>4</c:v>
                </c:pt>
                <c:pt idx="9">
                  <c:v>0</c:v>
                </c:pt>
                <c:pt idx="10">
                  <c:v>0</c:v>
                </c:pt>
                <c:pt idx="11">
                  <c:v>0</c:v>
                </c:pt>
                <c:pt idx="12">
                  <c:v>0</c:v>
                </c:pt>
              </c:numCache>
            </c:numRef>
          </c:val>
          <c:extLst>
            <c:ext xmlns:c16="http://schemas.microsoft.com/office/drawing/2014/chart" uri="{C3380CC4-5D6E-409C-BE32-E72D297353CC}">
              <c16:uniqueId val="{00000002-0C2B-0C40-81D4-5D446BB90C07}"/>
            </c:ext>
          </c:extLst>
        </c:ser>
        <c:dLbls>
          <c:dLblPos val="outEnd"/>
          <c:showLegendKey val="0"/>
          <c:showVal val="1"/>
          <c:showCatName val="0"/>
          <c:showSerName val="0"/>
          <c:showPercent val="0"/>
          <c:showBubbleSize val="0"/>
        </c:dLbls>
        <c:gapWidth val="100"/>
        <c:overlap val="-24"/>
        <c:axId val="528121536"/>
        <c:axId val="528113304"/>
      </c:barChart>
      <c:catAx>
        <c:axId val="52812153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13304"/>
        <c:crosses val="autoZero"/>
        <c:auto val="1"/>
        <c:lblAlgn val="ctr"/>
        <c:lblOffset val="100"/>
        <c:noMultiLvlLbl val="0"/>
      </c:catAx>
      <c:valAx>
        <c:axId val="52811330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215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2020-08-20</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'August 19, 2020 '!$B$2:$B$3</c:f>
              <c:strCache>
                <c:ptCount val="2"/>
                <c:pt idx="0">
                  <c:v>Total Hospital</c:v>
                </c:pt>
                <c:pt idx="1">
                  <c:v>232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19, 2020 '!$A$4:$A$16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19, 2020 '!$B$4:$B$16</c:f>
              <c:numCache>
                <c:formatCode>General</c:formatCode>
                <c:ptCount val="13"/>
                <c:pt idx="0">
                  <c:v>6</c:v>
                </c:pt>
                <c:pt idx="1">
                  <c:v>48</c:v>
                </c:pt>
                <c:pt idx="2" formatCode="0">
                  <c:v>42</c:v>
                </c:pt>
                <c:pt idx="3">
                  <c:v>120</c:v>
                </c:pt>
                <c:pt idx="4">
                  <c:v>0</c:v>
                </c:pt>
                <c:pt idx="5">
                  <c:v>0</c:v>
                </c:pt>
                <c:pt idx="6">
                  <c:v>8</c:v>
                </c:pt>
                <c:pt idx="7">
                  <c:v>0</c:v>
                </c:pt>
                <c:pt idx="8">
                  <c:v>8</c:v>
                </c:pt>
                <c:pt idx="9">
                  <c:v>0</c:v>
                </c:pt>
                <c:pt idx="10">
                  <c:v>0</c:v>
                </c:pt>
                <c:pt idx="11">
                  <c:v>0</c:v>
                </c:pt>
                <c:pt idx="12">
                  <c:v>0</c:v>
                </c:pt>
              </c:numCache>
            </c:numRef>
          </c:val>
          <c:extLst>
            <c:ext xmlns:c16="http://schemas.microsoft.com/office/drawing/2014/chart" uri="{C3380CC4-5D6E-409C-BE32-E72D297353CC}">
              <c16:uniqueId val="{00000000-879E-654A-B739-55F0968F2470}"/>
            </c:ext>
          </c:extLst>
        </c:ser>
        <c:ser>
          <c:idx val="1"/>
          <c:order val="1"/>
          <c:tx>
            <c:strRef>
              <c:f>'August 19, 2020 '!$C$2:$C$3</c:f>
              <c:strCache>
                <c:ptCount val="2"/>
                <c:pt idx="0">
                  <c:v>Total ICU</c:v>
                </c:pt>
                <c:pt idx="1">
                  <c:v>61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9E-654A-B739-55F0968F247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19, 2020 '!$A$4:$A$16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19, 2020 '!$C$4:$C$16</c:f>
              <c:numCache>
                <c:formatCode>General</c:formatCode>
                <c:ptCount val="13"/>
                <c:pt idx="0">
                  <c:v>3</c:v>
                </c:pt>
                <c:pt idx="1">
                  <c:v>11</c:v>
                </c:pt>
                <c:pt idx="2">
                  <c:v>15</c:v>
                </c:pt>
                <c:pt idx="3">
                  <c:v>26</c:v>
                </c:pt>
                <c:pt idx="4">
                  <c:v>0</c:v>
                </c:pt>
                <c:pt idx="5">
                  <c:v>0</c:v>
                </c:pt>
                <c:pt idx="6">
                  <c:v>2</c:v>
                </c:pt>
                <c:pt idx="7">
                  <c:v>0</c:v>
                </c:pt>
                <c:pt idx="8">
                  <c:v>4</c:v>
                </c:pt>
                <c:pt idx="9">
                  <c:v>0</c:v>
                </c:pt>
                <c:pt idx="10">
                  <c:v>0</c:v>
                </c:pt>
                <c:pt idx="11">
                  <c:v>0</c:v>
                </c:pt>
                <c:pt idx="12">
                  <c:v>0</c:v>
                </c:pt>
              </c:numCache>
            </c:numRef>
          </c:val>
          <c:extLst>
            <c:ext xmlns:c16="http://schemas.microsoft.com/office/drawing/2014/chart" uri="{C3380CC4-5D6E-409C-BE32-E72D297353CC}">
              <c16:uniqueId val="{00000002-879E-654A-B739-55F0968F2470}"/>
            </c:ext>
          </c:extLst>
        </c:ser>
        <c:dLbls>
          <c:dLblPos val="outEnd"/>
          <c:showLegendKey val="0"/>
          <c:showVal val="1"/>
          <c:showCatName val="0"/>
          <c:showSerName val="0"/>
          <c:showPercent val="0"/>
          <c:showBubbleSize val="0"/>
        </c:dLbls>
        <c:gapWidth val="100"/>
        <c:overlap val="-24"/>
        <c:axId val="528117224"/>
        <c:axId val="528121928"/>
      </c:barChart>
      <c:catAx>
        <c:axId val="52811722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21928"/>
        <c:crosses val="autoZero"/>
        <c:auto val="1"/>
        <c:lblAlgn val="ctr"/>
        <c:lblOffset val="100"/>
        <c:noMultiLvlLbl val="0"/>
      </c:catAx>
      <c:valAx>
        <c:axId val="52812192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172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2020-08-17</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'August 17, 2020'!$B$2:$B$3</c:f>
              <c:strCache>
                <c:ptCount val="2"/>
                <c:pt idx="0">
                  <c:v>Total Hospital</c:v>
                </c:pt>
                <c:pt idx="1">
                  <c:v>238</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17,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17, 2020'!$B$4:$B$16</c:f>
              <c:numCache>
                <c:formatCode>General</c:formatCode>
                <c:ptCount val="13"/>
                <c:pt idx="0">
                  <c:v>12</c:v>
                </c:pt>
                <c:pt idx="1">
                  <c:v>48</c:v>
                </c:pt>
                <c:pt idx="2" formatCode="0">
                  <c:v>37</c:v>
                </c:pt>
                <c:pt idx="3">
                  <c:v>124</c:v>
                </c:pt>
                <c:pt idx="4">
                  <c:v>0</c:v>
                </c:pt>
                <c:pt idx="5">
                  <c:v>0</c:v>
                </c:pt>
                <c:pt idx="6">
                  <c:v>9</c:v>
                </c:pt>
                <c:pt idx="7">
                  <c:v>0</c:v>
                </c:pt>
                <c:pt idx="8">
                  <c:v>8</c:v>
                </c:pt>
                <c:pt idx="9">
                  <c:v>0</c:v>
                </c:pt>
                <c:pt idx="10">
                  <c:v>0</c:v>
                </c:pt>
                <c:pt idx="11">
                  <c:v>0</c:v>
                </c:pt>
                <c:pt idx="12">
                  <c:v>0</c:v>
                </c:pt>
              </c:numCache>
            </c:numRef>
          </c:val>
          <c:extLst>
            <c:ext xmlns:c16="http://schemas.microsoft.com/office/drawing/2014/chart" uri="{C3380CC4-5D6E-409C-BE32-E72D297353CC}">
              <c16:uniqueId val="{00000000-6AB8-8D4B-842C-FBF70E9B7E61}"/>
            </c:ext>
          </c:extLst>
        </c:ser>
        <c:ser>
          <c:idx val="1"/>
          <c:order val="1"/>
          <c:tx>
            <c:strRef>
              <c:f>'August 17, 2020'!$C$2:$C$3</c:f>
              <c:strCache>
                <c:ptCount val="2"/>
                <c:pt idx="0">
                  <c:v>Total ICU</c:v>
                </c:pt>
                <c:pt idx="1">
                  <c:v>67</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AB8-8D4B-842C-FBF70E9B7E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17,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17, 2020'!$C$4:$C$16</c:f>
              <c:numCache>
                <c:formatCode>General</c:formatCode>
                <c:ptCount val="13"/>
                <c:pt idx="0">
                  <c:v>4</c:v>
                </c:pt>
                <c:pt idx="1">
                  <c:v>13</c:v>
                </c:pt>
                <c:pt idx="2">
                  <c:v>18</c:v>
                </c:pt>
                <c:pt idx="3">
                  <c:v>25</c:v>
                </c:pt>
                <c:pt idx="4">
                  <c:v>0</c:v>
                </c:pt>
                <c:pt idx="5">
                  <c:v>0</c:v>
                </c:pt>
                <c:pt idx="6">
                  <c:v>3</c:v>
                </c:pt>
                <c:pt idx="7">
                  <c:v>0</c:v>
                </c:pt>
                <c:pt idx="8">
                  <c:v>4</c:v>
                </c:pt>
                <c:pt idx="9">
                  <c:v>0</c:v>
                </c:pt>
                <c:pt idx="10">
                  <c:v>0</c:v>
                </c:pt>
                <c:pt idx="11">
                  <c:v>0</c:v>
                </c:pt>
                <c:pt idx="12">
                  <c:v>0</c:v>
                </c:pt>
              </c:numCache>
            </c:numRef>
          </c:val>
          <c:extLst>
            <c:ext xmlns:c16="http://schemas.microsoft.com/office/drawing/2014/chart" uri="{C3380CC4-5D6E-409C-BE32-E72D297353CC}">
              <c16:uniqueId val="{00000002-6AB8-8D4B-842C-FBF70E9B7E61}"/>
            </c:ext>
          </c:extLst>
        </c:ser>
        <c:dLbls>
          <c:dLblPos val="outEnd"/>
          <c:showLegendKey val="0"/>
          <c:showVal val="1"/>
          <c:showCatName val="0"/>
          <c:showSerName val="0"/>
          <c:showPercent val="0"/>
          <c:showBubbleSize val="0"/>
        </c:dLbls>
        <c:gapWidth val="100"/>
        <c:overlap val="-24"/>
        <c:axId val="528110168"/>
        <c:axId val="528113696"/>
      </c:barChart>
      <c:catAx>
        <c:axId val="5281101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13696"/>
        <c:crosses val="autoZero"/>
        <c:auto val="1"/>
        <c:lblAlgn val="ctr"/>
        <c:lblOffset val="100"/>
        <c:noMultiLvlLbl val="0"/>
      </c:catAx>
      <c:valAx>
        <c:axId val="52811369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10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2020-08-14</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'August 14, 2020'!$B$2:$B$3</c:f>
              <c:strCache>
                <c:ptCount val="2"/>
                <c:pt idx="0">
                  <c:v>Total Hospital</c:v>
                </c:pt>
                <c:pt idx="1">
                  <c:v>243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14,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14, 2020'!$B$4:$B$16</c:f>
              <c:numCache>
                <c:formatCode>General</c:formatCode>
                <c:ptCount val="13"/>
                <c:pt idx="0">
                  <c:v>9</c:v>
                </c:pt>
                <c:pt idx="1">
                  <c:v>50</c:v>
                </c:pt>
                <c:pt idx="2" formatCode="0">
                  <c:v>41</c:v>
                </c:pt>
                <c:pt idx="3">
                  <c:v>126</c:v>
                </c:pt>
                <c:pt idx="4">
                  <c:v>0</c:v>
                </c:pt>
                <c:pt idx="5">
                  <c:v>0</c:v>
                </c:pt>
                <c:pt idx="6">
                  <c:v>7</c:v>
                </c:pt>
                <c:pt idx="7">
                  <c:v>0</c:v>
                </c:pt>
                <c:pt idx="8">
                  <c:v>10</c:v>
                </c:pt>
                <c:pt idx="9">
                  <c:v>0</c:v>
                </c:pt>
                <c:pt idx="10">
                  <c:v>0</c:v>
                </c:pt>
                <c:pt idx="11">
                  <c:v>0</c:v>
                </c:pt>
                <c:pt idx="12">
                  <c:v>0</c:v>
                </c:pt>
              </c:numCache>
            </c:numRef>
          </c:val>
          <c:extLst>
            <c:ext xmlns:c16="http://schemas.microsoft.com/office/drawing/2014/chart" uri="{C3380CC4-5D6E-409C-BE32-E72D297353CC}">
              <c16:uniqueId val="{00000000-5298-EE4E-B9A7-17E4F564A049}"/>
            </c:ext>
          </c:extLst>
        </c:ser>
        <c:ser>
          <c:idx val="1"/>
          <c:order val="1"/>
          <c:tx>
            <c:strRef>
              <c:f>'August 14, 2020'!$C$2:$C$3</c:f>
              <c:strCache>
                <c:ptCount val="2"/>
                <c:pt idx="0">
                  <c:v>Total ICU</c:v>
                </c:pt>
                <c:pt idx="1">
                  <c:v>66</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298-EE4E-B9A7-17E4F564A04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14,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14, 2020'!$C$4:$C$16</c:f>
              <c:numCache>
                <c:formatCode>General</c:formatCode>
                <c:ptCount val="13"/>
                <c:pt idx="0">
                  <c:v>4</c:v>
                </c:pt>
                <c:pt idx="1">
                  <c:v>12</c:v>
                </c:pt>
                <c:pt idx="2">
                  <c:v>17</c:v>
                </c:pt>
                <c:pt idx="3">
                  <c:v>25</c:v>
                </c:pt>
                <c:pt idx="4">
                  <c:v>0</c:v>
                </c:pt>
                <c:pt idx="5">
                  <c:v>0</c:v>
                </c:pt>
                <c:pt idx="6">
                  <c:v>3</c:v>
                </c:pt>
                <c:pt idx="7">
                  <c:v>0</c:v>
                </c:pt>
                <c:pt idx="8">
                  <c:v>5</c:v>
                </c:pt>
                <c:pt idx="9">
                  <c:v>0</c:v>
                </c:pt>
                <c:pt idx="10">
                  <c:v>0</c:v>
                </c:pt>
                <c:pt idx="11">
                  <c:v>0</c:v>
                </c:pt>
                <c:pt idx="12">
                  <c:v>0</c:v>
                </c:pt>
              </c:numCache>
            </c:numRef>
          </c:val>
          <c:extLst>
            <c:ext xmlns:c16="http://schemas.microsoft.com/office/drawing/2014/chart" uri="{C3380CC4-5D6E-409C-BE32-E72D297353CC}">
              <c16:uniqueId val="{00000002-5298-EE4E-B9A7-17E4F564A049}"/>
            </c:ext>
          </c:extLst>
        </c:ser>
        <c:dLbls>
          <c:dLblPos val="outEnd"/>
          <c:showLegendKey val="0"/>
          <c:showVal val="1"/>
          <c:showCatName val="0"/>
          <c:showSerName val="0"/>
          <c:showPercent val="0"/>
          <c:showBubbleSize val="0"/>
        </c:dLbls>
        <c:gapWidth val="100"/>
        <c:overlap val="-24"/>
        <c:axId val="528118792"/>
        <c:axId val="528110560"/>
      </c:barChart>
      <c:catAx>
        <c:axId val="52811879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10560"/>
        <c:crosses val="autoZero"/>
        <c:auto val="1"/>
        <c:lblAlgn val="ctr"/>
        <c:lblOffset val="100"/>
        <c:noMultiLvlLbl val="0"/>
      </c:catAx>
      <c:valAx>
        <c:axId val="52811056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187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2020-08-12</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'August 12, 2020'!$B$2:$B$3</c:f>
              <c:strCache>
                <c:ptCount val="2"/>
                <c:pt idx="0">
                  <c:v>Total Hospital</c:v>
                </c:pt>
                <c:pt idx="1">
                  <c:v>266</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12,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12, 2020'!$B$4:$B$16</c:f>
              <c:numCache>
                <c:formatCode>General</c:formatCode>
                <c:ptCount val="13"/>
                <c:pt idx="0">
                  <c:v>8</c:v>
                </c:pt>
                <c:pt idx="1">
                  <c:v>62</c:v>
                </c:pt>
                <c:pt idx="2" formatCode="0">
                  <c:v>49</c:v>
                </c:pt>
                <c:pt idx="3">
                  <c:v>131</c:v>
                </c:pt>
                <c:pt idx="4">
                  <c:v>0</c:v>
                </c:pt>
                <c:pt idx="5">
                  <c:v>0</c:v>
                </c:pt>
                <c:pt idx="6">
                  <c:v>5</c:v>
                </c:pt>
                <c:pt idx="7">
                  <c:v>0</c:v>
                </c:pt>
                <c:pt idx="8">
                  <c:v>11</c:v>
                </c:pt>
                <c:pt idx="9">
                  <c:v>0</c:v>
                </c:pt>
                <c:pt idx="10">
                  <c:v>0</c:v>
                </c:pt>
                <c:pt idx="11">
                  <c:v>0</c:v>
                </c:pt>
                <c:pt idx="12">
                  <c:v>0</c:v>
                </c:pt>
              </c:numCache>
            </c:numRef>
          </c:val>
          <c:extLst>
            <c:ext xmlns:c16="http://schemas.microsoft.com/office/drawing/2014/chart" uri="{C3380CC4-5D6E-409C-BE32-E72D297353CC}">
              <c16:uniqueId val="{00000000-8C26-C54C-A6F9-B447C382D618}"/>
            </c:ext>
          </c:extLst>
        </c:ser>
        <c:ser>
          <c:idx val="1"/>
          <c:order val="1"/>
          <c:tx>
            <c:strRef>
              <c:f>'August 12, 2020'!$C$2:$C$3</c:f>
              <c:strCache>
                <c:ptCount val="2"/>
                <c:pt idx="0">
                  <c:v>Total ICU</c:v>
                </c:pt>
                <c:pt idx="1">
                  <c:v>67</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C26-C54C-A6F9-B447C382D61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12,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12, 2020'!$C$4:$C$16</c:f>
              <c:numCache>
                <c:formatCode>General</c:formatCode>
                <c:ptCount val="13"/>
                <c:pt idx="0">
                  <c:v>5</c:v>
                </c:pt>
                <c:pt idx="1">
                  <c:v>14</c:v>
                </c:pt>
                <c:pt idx="2">
                  <c:v>20</c:v>
                </c:pt>
                <c:pt idx="3">
                  <c:v>20</c:v>
                </c:pt>
                <c:pt idx="4">
                  <c:v>0</c:v>
                </c:pt>
                <c:pt idx="5">
                  <c:v>0</c:v>
                </c:pt>
                <c:pt idx="6">
                  <c:v>3</c:v>
                </c:pt>
                <c:pt idx="7">
                  <c:v>0</c:v>
                </c:pt>
                <c:pt idx="8">
                  <c:v>5</c:v>
                </c:pt>
                <c:pt idx="9">
                  <c:v>0</c:v>
                </c:pt>
                <c:pt idx="10">
                  <c:v>0</c:v>
                </c:pt>
                <c:pt idx="11">
                  <c:v>0</c:v>
                </c:pt>
                <c:pt idx="12">
                  <c:v>0</c:v>
                </c:pt>
              </c:numCache>
            </c:numRef>
          </c:val>
          <c:extLst>
            <c:ext xmlns:c16="http://schemas.microsoft.com/office/drawing/2014/chart" uri="{C3380CC4-5D6E-409C-BE32-E72D297353CC}">
              <c16:uniqueId val="{00000002-8C26-C54C-A6F9-B447C382D618}"/>
            </c:ext>
          </c:extLst>
        </c:ser>
        <c:dLbls>
          <c:dLblPos val="outEnd"/>
          <c:showLegendKey val="0"/>
          <c:showVal val="1"/>
          <c:showCatName val="0"/>
          <c:showSerName val="0"/>
          <c:showPercent val="0"/>
          <c:showBubbleSize val="0"/>
        </c:dLbls>
        <c:gapWidth val="100"/>
        <c:overlap val="-24"/>
        <c:axId val="528114872"/>
        <c:axId val="528115264"/>
      </c:barChart>
      <c:catAx>
        <c:axId val="52811487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15264"/>
        <c:crosses val="autoZero"/>
        <c:auto val="1"/>
        <c:lblAlgn val="ctr"/>
        <c:lblOffset val="100"/>
        <c:noMultiLvlLbl val="0"/>
      </c:catAx>
      <c:valAx>
        <c:axId val="52811526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14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2020-08-10</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'August 10, 2020'!$B$2:$B$3</c:f>
              <c:strCache>
                <c:ptCount val="2"/>
                <c:pt idx="0">
                  <c:v>Total Hospital</c:v>
                </c:pt>
                <c:pt idx="1">
                  <c:v>281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10,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10, 2020'!$B$4:$B$16</c:f>
              <c:numCache>
                <c:formatCode>General</c:formatCode>
                <c:ptCount val="13"/>
                <c:pt idx="0">
                  <c:v>11</c:v>
                </c:pt>
                <c:pt idx="1">
                  <c:v>68</c:v>
                </c:pt>
                <c:pt idx="2" formatCode="0">
                  <c:v>49</c:v>
                </c:pt>
                <c:pt idx="3">
                  <c:v>134</c:v>
                </c:pt>
                <c:pt idx="4">
                  <c:v>0</c:v>
                </c:pt>
                <c:pt idx="5">
                  <c:v>0</c:v>
                </c:pt>
                <c:pt idx="6">
                  <c:v>6</c:v>
                </c:pt>
                <c:pt idx="7">
                  <c:v>0</c:v>
                </c:pt>
                <c:pt idx="8">
                  <c:v>13</c:v>
                </c:pt>
                <c:pt idx="9">
                  <c:v>0</c:v>
                </c:pt>
                <c:pt idx="10">
                  <c:v>0</c:v>
                </c:pt>
                <c:pt idx="11">
                  <c:v>0</c:v>
                </c:pt>
                <c:pt idx="12">
                  <c:v>0</c:v>
                </c:pt>
              </c:numCache>
            </c:numRef>
          </c:val>
          <c:extLst>
            <c:ext xmlns:c16="http://schemas.microsoft.com/office/drawing/2014/chart" uri="{C3380CC4-5D6E-409C-BE32-E72D297353CC}">
              <c16:uniqueId val="{00000000-77D7-C54D-8220-411913704679}"/>
            </c:ext>
          </c:extLst>
        </c:ser>
        <c:ser>
          <c:idx val="1"/>
          <c:order val="1"/>
          <c:tx>
            <c:strRef>
              <c:f>'August 10, 2020'!$C$2:$C$3</c:f>
              <c:strCache>
                <c:ptCount val="2"/>
                <c:pt idx="0">
                  <c:v>Total ICU</c:v>
                </c:pt>
                <c:pt idx="1">
                  <c:v>78</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7D7-C54D-8220-41191370467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10,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10, 2020'!$C$4:$C$16</c:f>
              <c:numCache>
                <c:formatCode>General</c:formatCode>
                <c:ptCount val="13"/>
                <c:pt idx="0">
                  <c:v>4</c:v>
                </c:pt>
                <c:pt idx="1">
                  <c:v>18</c:v>
                </c:pt>
                <c:pt idx="2">
                  <c:v>25</c:v>
                </c:pt>
                <c:pt idx="3">
                  <c:v>22</c:v>
                </c:pt>
                <c:pt idx="4">
                  <c:v>0</c:v>
                </c:pt>
                <c:pt idx="5">
                  <c:v>0</c:v>
                </c:pt>
                <c:pt idx="6">
                  <c:v>3</c:v>
                </c:pt>
                <c:pt idx="7">
                  <c:v>0</c:v>
                </c:pt>
                <c:pt idx="8">
                  <c:v>6</c:v>
                </c:pt>
                <c:pt idx="9">
                  <c:v>0</c:v>
                </c:pt>
                <c:pt idx="10">
                  <c:v>0</c:v>
                </c:pt>
                <c:pt idx="11">
                  <c:v>0</c:v>
                </c:pt>
                <c:pt idx="12">
                  <c:v>0</c:v>
                </c:pt>
              </c:numCache>
            </c:numRef>
          </c:val>
          <c:extLst>
            <c:ext xmlns:c16="http://schemas.microsoft.com/office/drawing/2014/chart" uri="{C3380CC4-5D6E-409C-BE32-E72D297353CC}">
              <c16:uniqueId val="{00000002-77D7-C54D-8220-411913704679}"/>
            </c:ext>
          </c:extLst>
        </c:ser>
        <c:dLbls>
          <c:dLblPos val="outEnd"/>
          <c:showLegendKey val="0"/>
          <c:showVal val="1"/>
          <c:showCatName val="0"/>
          <c:showSerName val="0"/>
          <c:showPercent val="0"/>
          <c:showBubbleSize val="0"/>
        </c:dLbls>
        <c:gapWidth val="100"/>
        <c:overlap val="-24"/>
        <c:axId val="528115656"/>
        <c:axId val="528111736"/>
      </c:barChart>
      <c:catAx>
        <c:axId val="52811565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11736"/>
        <c:crosses val="autoZero"/>
        <c:auto val="1"/>
        <c:lblAlgn val="ctr"/>
        <c:lblOffset val="100"/>
        <c:noMultiLvlLbl val="0"/>
      </c:catAx>
      <c:valAx>
        <c:axId val="52811173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15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2020-08-07</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'August 07, 2020'!$B$2:$B$3</c:f>
              <c:strCache>
                <c:ptCount val="2"/>
                <c:pt idx="0">
                  <c:v>Total Hospital</c:v>
                </c:pt>
                <c:pt idx="1">
                  <c:v>314</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07,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07, 2020'!$B$4:$B$16</c:f>
              <c:numCache>
                <c:formatCode>General</c:formatCode>
                <c:ptCount val="13"/>
                <c:pt idx="0">
                  <c:v>11</c:v>
                </c:pt>
                <c:pt idx="1">
                  <c:v>76</c:v>
                </c:pt>
                <c:pt idx="2" formatCode="0">
                  <c:v>71</c:v>
                </c:pt>
                <c:pt idx="3">
                  <c:v>133</c:v>
                </c:pt>
                <c:pt idx="4">
                  <c:v>0</c:v>
                </c:pt>
                <c:pt idx="5">
                  <c:v>0</c:v>
                </c:pt>
                <c:pt idx="6">
                  <c:v>10</c:v>
                </c:pt>
                <c:pt idx="7">
                  <c:v>0</c:v>
                </c:pt>
                <c:pt idx="8">
                  <c:v>13</c:v>
                </c:pt>
                <c:pt idx="9">
                  <c:v>0</c:v>
                </c:pt>
                <c:pt idx="10">
                  <c:v>0</c:v>
                </c:pt>
                <c:pt idx="11">
                  <c:v>0</c:v>
                </c:pt>
                <c:pt idx="12">
                  <c:v>0</c:v>
                </c:pt>
              </c:numCache>
            </c:numRef>
          </c:val>
          <c:extLst>
            <c:ext xmlns:c16="http://schemas.microsoft.com/office/drawing/2014/chart" uri="{C3380CC4-5D6E-409C-BE32-E72D297353CC}">
              <c16:uniqueId val="{00000000-B984-234C-A84D-69DBFD9E14CF}"/>
            </c:ext>
          </c:extLst>
        </c:ser>
        <c:ser>
          <c:idx val="1"/>
          <c:order val="1"/>
          <c:tx>
            <c:strRef>
              <c:f>'August 07, 2020'!$C$2:$C$3</c:f>
              <c:strCache>
                <c:ptCount val="2"/>
                <c:pt idx="0">
                  <c:v>Total ICU</c:v>
                </c:pt>
                <c:pt idx="1">
                  <c:v>83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84-234C-A84D-69DBFD9E14C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07,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07, 2020'!$C$4:$C$16</c:f>
              <c:numCache>
                <c:formatCode>General</c:formatCode>
                <c:ptCount val="13"/>
                <c:pt idx="0">
                  <c:v>5</c:v>
                </c:pt>
                <c:pt idx="1">
                  <c:v>19</c:v>
                </c:pt>
                <c:pt idx="2">
                  <c:v>29</c:v>
                </c:pt>
                <c:pt idx="3">
                  <c:v>19</c:v>
                </c:pt>
                <c:pt idx="4">
                  <c:v>0</c:v>
                </c:pt>
                <c:pt idx="5">
                  <c:v>0</c:v>
                </c:pt>
                <c:pt idx="6">
                  <c:v>5</c:v>
                </c:pt>
                <c:pt idx="7">
                  <c:v>0</c:v>
                </c:pt>
                <c:pt idx="8">
                  <c:v>6</c:v>
                </c:pt>
                <c:pt idx="9">
                  <c:v>0</c:v>
                </c:pt>
                <c:pt idx="10">
                  <c:v>0</c:v>
                </c:pt>
                <c:pt idx="11">
                  <c:v>0</c:v>
                </c:pt>
                <c:pt idx="12">
                  <c:v>0</c:v>
                </c:pt>
              </c:numCache>
            </c:numRef>
          </c:val>
          <c:extLst>
            <c:ext xmlns:c16="http://schemas.microsoft.com/office/drawing/2014/chart" uri="{C3380CC4-5D6E-409C-BE32-E72D297353CC}">
              <c16:uniqueId val="{00000002-B984-234C-A84D-69DBFD9E14CF}"/>
            </c:ext>
          </c:extLst>
        </c:ser>
        <c:dLbls>
          <c:dLblPos val="outEnd"/>
          <c:showLegendKey val="0"/>
          <c:showVal val="1"/>
          <c:showCatName val="0"/>
          <c:showSerName val="0"/>
          <c:showPercent val="0"/>
          <c:showBubbleSize val="0"/>
        </c:dLbls>
        <c:gapWidth val="100"/>
        <c:overlap val="-24"/>
        <c:axId val="528119968"/>
        <c:axId val="528119184"/>
      </c:barChart>
      <c:catAx>
        <c:axId val="5281199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19184"/>
        <c:crosses val="autoZero"/>
        <c:auto val="1"/>
        <c:lblAlgn val="ctr"/>
        <c:lblOffset val="100"/>
        <c:noMultiLvlLbl val="0"/>
      </c:catAx>
      <c:valAx>
        <c:axId val="52811918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19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2020-08-05</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'August 05, 2020'!$B$2:$B$3</c:f>
              <c:strCache>
                <c:ptCount val="2"/>
                <c:pt idx="0">
                  <c:v>Total Hospital</c:v>
                </c:pt>
                <c:pt idx="1">
                  <c:v>330</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05,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05, 2020'!$B$4:$B$16</c:f>
              <c:numCache>
                <c:formatCode>General</c:formatCode>
                <c:ptCount val="13"/>
                <c:pt idx="0">
                  <c:v>8</c:v>
                </c:pt>
                <c:pt idx="1">
                  <c:v>85</c:v>
                </c:pt>
                <c:pt idx="2" formatCode="0">
                  <c:v>66</c:v>
                </c:pt>
                <c:pt idx="3">
                  <c:v>148</c:v>
                </c:pt>
                <c:pt idx="4">
                  <c:v>0</c:v>
                </c:pt>
                <c:pt idx="5">
                  <c:v>0</c:v>
                </c:pt>
                <c:pt idx="6">
                  <c:v>9</c:v>
                </c:pt>
                <c:pt idx="7">
                  <c:v>0</c:v>
                </c:pt>
                <c:pt idx="8">
                  <c:v>14</c:v>
                </c:pt>
                <c:pt idx="9">
                  <c:v>0</c:v>
                </c:pt>
                <c:pt idx="10">
                  <c:v>0</c:v>
                </c:pt>
                <c:pt idx="11">
                  <c:v>0</c:v>
                </c:pt>
                <c:pt idx="12">
                  <c:v>0</c:v>
                </c:pt>
              </c:numCache>
            </c:numRef>
          </c:val>
          <c:extLst>
            <c:ext xmlns:c16="http://schemas.microsoft.com/office/drawing/2014/chart" uri="{C3380CC4-5D6E-409C-BE32-E72D297353CC}">
              <c16:uniqueId val="{00000000-896A-F048-8144-B5C62B7614B2}"/>
            </c:ext>
          </c:extLst>
        </c:ser>
        <c:ser>
          <c:idx val="1"/>
          <c:order val="1"/>
          <c:tx>
            <c:strRef>
              <c:f>'August 05, 2020'!$C$2:$C$3</c:f>
              <c:strCache>
                <c:ptCount val="2"/>
                <c:pt idx="0">
                  <c:v>Total ICU</c:v>
                </c:pt>
                <c:pt idx="1">
                  <c:v>87</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96A-F048-8144-B5C62B7614B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05,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05, 2020'!$C$4:$C$16</c:f>
              <c:numCache>
                <c:formatCode>General</c:formatCode>
                <c:ptCount val="13"/>
                <c:pt idx="0">
                  <c:v>4</c:v>
                </c:pt>
                <c:pt idx="1">
                  <c:v>23</c:v>
                </c:pt>
                <c:pt idx="2">
                  <c:v>30</c:v>
                </c:pt>
                <c:pt idx="3">
                  <c:v>19</c:v>
                </c:pt>
                <c:pt idx="4">
                  <c:v>0</c:v>
                </c:pt>
                <c:pt idx="5">
                  <c:v>0</c:v>
                </c:pt>
                <c:pt idx="6">
                  <c:v>4</c:v>
                </c:pt>
                <c:pt idx="7">
                  <c:v>0</c:v>
                </c:pt>
                <c:pt idx="8">
                  <c:v>7</c:v>
                </c:pt>
                <c:pt idx="9">
                  <c:v>0</c:v>
                </c:pt>
                <c:pt idx="10">
                  <c:v>0</c:v>
                </c:pt>
                <c:pt idx="11">
                  <c:v>0</c:v>
                </c:pt>
                <c:pt idx="12">
                  <c:v>0</c:v>
                </c:pt>
              </c:numCache>
            </c:numRef>
          </c:val>
          <c:extLst>
            <c:ext xmlns:c16="http://schemas.microsoft.com/office/drawing/2014/chart" uri="{C3380CC4-5D6E-409C-BE32-E72D297353CC}">
              <c16:uniqueId val="{00000002-896A-F048-8144-B5C62B7614B2}"/>
            </c:ext>
          </c:extLst>
        </c:ser>
        <c:dLbls>
          <c:dLblPos val="outEnd"/>
          <c:showLegendKey val="0"/>
          <c:showVal val="1"/>
          <c:showCatName val="0"/>
          <c:showSerName val="0"/>
          <c:showPercent val="0"/>
          <c:showBubbleSize val="0"/>
        </c:dLbls>
        <c:gapWidth val="100"/>
        <c:overlap val="-24"/>
        <c:axId val="528116440"/>
        <c:axId val="528112520"/>
      </c:barChart>
      <c:catAx>
        <c:axId val="52811644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12520"/>
        <c:crosses val="autoZero"/>
        <c:auto val="1"/>
        <c:lblAlgn val="ctr"/>
        <c:lblOffset val="100"/>
        <c:noMultiLvlLbl val="0"/>
      </c:catAx>
      <c:valAx>
        <c:axId val="52811252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16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2020-08-04</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'August 04, 2020'!$B$2:$B$3</c:f>
              <c:strCache>
                <c:ptCount val="2"/>
                <c:pt idx="0">
                  <c:v>Total Hospital</c:v>
                </c:pt>
                <c:pt idx="1">
                  <c:v>341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04,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04, 2020'!$B$4:$B$16</c:f>
              <c:numCache>
                <c:formatCode>General</c:formatCode>
                <c:ptCount val="13"/>
                <c:pt idx="0">
                  <c:v>5</c:v>
                </c:pt>
                <c:pt idx="1">
                  <c:v>86</c:v>
                </c:pt>
                <c:pt idx="2" formatCode="0">
                  <c:v>78</c:v>
                </c:pt>
                <c:pt idx="3">
                  <c:v>148</c:v>
                </c:pt>
                <c:pt idx="4">
                  <c:v>0</c:v>
                </c:pt>
                <c:pt idx="5">
                  <c:v>0</c:v>
                </c:pt>
                <c:pt idx="6">
                  <c:v>9</c:v>
                </c:pt>
                <c:pt idx="7">
                  <c:v>0</c:v>
                </c:pt>
                <c:pt idx="8">
                  <c:v>15</c:v>
                </c:pt>
                <c:pt idx="9">
                  <c:v>0</c:v>
                </c:pt>
                <c:pt idx="10">
                  <c:v>0</c:v>
                </c:pt>
                <c:pt idx="11">
                  <c:v>0</c:v>
                </c:pt>
                <c:pt idx="12">
                  <c:v>0</c:v>
                </c:pt>
              </c:numCache>
            </c:numRef>
          </c:val>
          <c:extLst>
            <c:ext xmlns:c16="http://schemas.microsoft.com/office/drawing/2014/chart" uri="{C3380CC4-5D6E-409C-BE32-E72D297353CC}">
              <c16:uniqueId val="{00000000-307C-1E40-8D75-5A7944F92D4F}"/>
            </c:ext>
          </c:extLst>
        </c:ser>
        <c:ser>
          <c:idx val="1"/>
          <c:order val="1"/>
          <c:tx>
            <c:strRef>
              <c:f>'August 04, 2020'!$C$2:$C$3</c:f>
              <c:strCache>
                <c:ptCount val="2"/>
                <c:pt idx="0">
                  <c:v>Total ICU</c:v>
                </c:pt>
                <c:pt idx="1">
                  <c:v>78</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7C-1E40-8D75-5A7944F92D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04,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04, 2020'!$C$4:$C$16</c:f>
              <c:numCache>
                <c:formatCode>General</c:formatCode>
                <c:ptCount val="13"/>
                <c:pt idx="0">
                  <c:v>2</c:v>
                </c:pt>
                <c:pt idx="1">
                  <c:v>17</c:v>
                </c:pt>
                <c:pt idx="2">
                  <c:v>28</c:v>
                </c:pt>
                <c:pt idx="3">
                  <c:v>21</c:v>
                </c:pt>
                <c:pt idx="4">
                  <c:v>0</c:v>
                </c:pt>
                <c:pt idx="5">
                  <c:v>0</c:v>
                </c:pt>
                <c:pt idx="6">
                  <c:v>4</c:v>
                </c:pt>
                <c:pt idx="7">
                  <c:v>0</c:v>
                </c:pt>
                <c:pt idx="8">
                  <c:v>6</c:v>
                </c:pt>
                <c:pt idx="9">
                  <c:v>0</c:v>
                </c:pt>
                <c:pt idx="10">
                  <c:v>0</c:v>
                </c:pt>
                <c:pt idx="11">
                  <c:v>0</c:v>
                </c:pt>
                <c:pt idx="12">
                  <c:v>0</c:v>
                </c:pt>
              </c:numCache>
            </c:numRef>
          </c:val>
          <c:extLst>
            <c:ext xmlns:c16="http://schemas.microsoft.com/office/drawing/2014/chart" uri="{C3380CC4-5D6E-409C-BE32-E72D297353CC}">
              <c16:uniqueId val="{00000002-307C-1E40-8D75-5A7944F92D4F}"/>
            </c:ext>
          </c:extLst>
        </c:ser>
        <c:dLbls>
          <c:dLblPos val="outEnd"/>
          <c:showLegendKey val="0"/>
          <c:showVal val="1"/>
          <c:showCatName val="0"/>
          <c:showSerName val="0"/>
          <c:showPercent val="0"/>
          <c:showBubbleSize val="0"/>
        </c:dLbls>
        <c:gapWidth val="100"/>
        <c:overlap val="-24"/>
        <c:axId val="528118400"/>
        <c:axId val="528112912"/>
      </c:barChart>
      <c:catAx>
        <c:axId val="52811840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12912"/>
        <c:crosses val="autoZero"/>
        <c:auto val="1"/>
        <c:lblAlgn val="ctr"/>
        <c:lblOffset val="100"/>
        <c:noMultiLvlLbl val="0"/>
      </c:catAx>
      <c:valAx>
        <c:axId val="52811291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18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2022-03-30</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'March 30, 2022'!$B$2:$B$3</c:f>
              <c:strCache>
                <c:ptCount val="2"/>
                <c:pt idx="0">
                  <c:v>Total Hospital</c:v>
                </c:pt>
                <c:pt idx="1">
                  <c:v>3973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30,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30, 2022'!$B$4:$B$16</c:f>
              <c:numCache>
                <c:formatCode>General</c:formatCode>
                <c:ptCount val="13"/>
                <c:pt idx="0">
                  <c:v>273</c:v>
                </c:pt>
                <c:pt idx="1">
                  <c:v>964</c:v>
                </c:pt>
                <c:pt idx="2" formatCode="0">
                  <c:v>778</c:v>
                </c:pt>
                <c:pt idx="3" formatCode="#,##0">
                  <c:v>1200</c:v>
                </c:pt>
                <c:pt idx="4">
                  <c:v>45</c:v>
                </c:pt>
                <c:pt idx="5">
                  <c:v>142</c:v>
                </c:pt>
                <c:pt idx="6">
                  <c:v>165</c:v>
                </c:pt>
                <c:pt idx="7">
                  <c:v>19</c:v>
                </c:pt>
                <c:pt idx="8">
                  <c:v>306</c:v>
                </c:pt>
                <c:pt idx="9">
                  <c:v>40</c:v>
                </c:pt>
                <c:pt idx="10">
                  <c:v>8</c:v>
                </c:pt>
                <c:pt idx="11">
                  <c:v>0</c:v>
                </c:pt>
                <c:pt idx="12">
                  <c:v>33</c:v>
                </c:pt>
              </c:numCache>
            </c:numRef>
          </c:val>
          <c:extLst>
            <c:ext xmlns:c16="http://schemas.microsoft.com/office/drawing/2014/chart" uri="{C3380CC4-5D6E-409C-BE32-E72D297353CC}">
              <c16:uniqueId val="{00000000-EDA9-447A-B34A-7F5482B615D8}"/>
            </c:ext>
          </c:extLst>
        </c:ser>
        <c:ser>
          <c:idx val="1"/>
          <c:order val="1"/>
          <c:tx>
            <c:strRef>
              <c:f>'March 30, 2022'!$C$2:$C$3</c:f>
              <c:strCache>
                <c:ptCount val="2"/>
                <c:pt idx="0">
                  <c:v>Total ICU</c:v>
                </c:pt>
                <c:pt idx="1">
                  <c:v>382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30,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30, 2022'!$C$4:$C$16</c:f>
              <c:numCache>
                <c:formatCode>General</c:formatCode>
                <c:ptCount val="13"/>
                <c:pt idx="0">
                  <c:v>46</c:v>
                </c:pt>
                <c:pt idx="1">
                  <c:v>47</c:v>
                </c:pt>
                <c:pt idx="2">
                  <c:v>165</c:v>
                </c:pt>
                <c:pt idx="3">
                  <c:v>60</c:v>
                </c:pt>
                <c:pt idx="4">
                  <c:v>11</c:v>
                </c:pt>
                <c:pt idx="5">
                  <c:v>8</c:v>
                </c:pt>
                <c:pt idx="6">
                  <c:v>14</c:v>
                </c:pt>
                <c:pt idx="7">
                  <c:v>1</c:v>
                </c:pt>
                <c:pt idx="8">
                  <c:v>19</c:v>
                </c:pt>
                <c:pt idx="9">
                  <c:v>11</c:v>
                </c:pt>
                <c:pt idx="10">
                  <c:v>0</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36544"/>
        <c:axId val="451736936"/>
      </c:barChart>
      <c:catAx>
        <c:axId val="45173654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36936"/>
        <c:crosses val="autoZero"/>
        <c:auto val="1"/>
        <c:lblAlgn val="ctr"/>
        <c:lblOffset val="100"/>
        <c:noMultiLvlLbl val="0"/>
      </c:catAx>
      <c:valAx>
        <c:axId val="45173693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36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2020-07-29</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'July 29, 2020'!$B$2:$B$3</c:f>
              <c:strCache>
                <c:ptCount val="2"/>
                <c:pt idx="0">
                  <c:v>Total Hospital</c:v>
                </c:pt>
                <c:pt idx="1">
                  <c:v>385</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29,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29, 2020'!$B$4:$B$16</c:f>
              <c:numCache>
                <c:formatCode>General</c:formatCode>
                <c:ptCount val="13"/>
                <c:pt idx="0">
                  <c:v>9</c:v>
                </c:pt>
                <c:pt idx="1">
                  <c:v>88</c:v>
                </c:pt>
                <c:pt idx="2" formatCode="0">
                  <c:v>91</c:v>
                </c:pt>
                <c:pt idx="3">
                  <c:v>181</c:v>
                </c:pt>
                <c:pt idx="4">
                  <c:v>0</c:v>
                </c:pt>
                <c:pt idx="5">
                  <c:v>0</c:v>
                </c:pt>
                <c:pt idx="6">
                  <c:v>3</c:v>
                </c:pt>
                <c:pt idx="7">
                  <c:v>0</c:v>
                </c:pt>
                <c:pt idx="8">
                  <c:v>13</c:v>
                </c:pt>
                <c:pt idx="9">
                  <c:v>0</c:v>
                </c:pt>
                <c:pt idx="10">
                  <c:v>0</c:v>
                </c:pt>
                <c:pt idx="11">
                  <c:v>0</c:v>
                </c:pt>
                <c:pt idx="12">
                  <c:v>0</c:v>
                </c:pt>
              </c:numCache>
            </c:numRef>
          </c:val>
          <c:extLst>
            <c:ext xmlns:c16="http://schemas.microsoft.com/office/drawing/2014/chart" uri="{C3380CC4-5D6E-409C-BE32-E72D297353CC}">
              <c16:uniqueId val="{00000000-7C21-8E44-AC9D-6448B3F74127}"/>
            </c:ext>
          </c:extLst>
        </c:ser>
        <c:ser>
          <c:idx val="1"/>
          <c:order val="1"/>
          <c:tx>
            <c:strRef>
              <c:f>'July 29, 2020'!$C$2:$C$3</c:f>
              <c:strCache>
                <c:ptCount val="2"/>
                <c:pt idx="0">
                  <c:v>Total ICU</c:v>
                </c:pt>
                <c:pt idx="1">
                  <c:v>63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C21-8E44-AC9D-6448B3F741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29,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29, 2020'!$C$4:$C$16</c:f>
              <c:numCache>
                <c:formatCode>General</c:formatCode>
                <c:ptCount val="13"/>
                <c:pt idx="0">
                  <c:v>3</c:v>
                </c:pt>
                <c:pt idx="1">
                  <c:v>16</c:v>
                </c:pt>
                <c:pt idx="2">
                  <c:v>28</c:v>
                </c:pt>
                <c:pt idx="3">
                  <c:v>9</c:v>
                </c:pt>
                <c:pt idx="4">
                  <c:v>0</c:v>
                </c:pt>
                <c:pt idx="5">
                  <c:v>0</c:v>
                </c:pt>
                <c:pt idx="6">
                  <c:v>2</c:v>
                </c:pt>
                <c:pt idx="7">
                  <c:v>0</c:v>
                </c:pt>
                <c:pt idx="8">
                  <c:v>5</c:v>
                </c:pt>
                <c:pt idx="9">
                  <c:v>0</c:v>
                </c:pt>
                <c:pt idx="10">
                  <c:v>0</c:v>
                </c:pt>
                <c:pt idx="11">
                  <c:v>0</c:v>
                </c:pt>
                <c:pt idx="12">
                  <c:v>0</c:v>
                </c:pt>
              </c:numCache>
            </c:numRef>
          </c:val>
          <c:extLst>
            <c:ext xmlns:c16="http://schemas.microsoft.com/office/drawing/2014/chart" uri="{C3380CC4-5D6E-409C-BE32-E72D297353CC}">
              <c16:uniqueId val="{00000002-7C21-8E44-AC9D-6448B3F74127}"/>
            </c:ext>
          </c:extLst>
        </c:ser>
        <c:dLbls>
          <c:dLblPos val="outEnd"/>
          <c:showLegendKey val="0"/>
          <c:showVal val="1"/>
          <c:showCatName val="0"/>
          <c:showSerName val="0"/>
          <c:showPercent val="0"/>
          <c:showBubbleSize val="0"/>
        </c:dLbls>
        <c:gapWidth val="100"/>
        <c:overlap val="-24"/>
        <c:axId val="528134864"/>
        <c:axId val="528132904"/>
      </c:barChart>
      <c:catAx>
        <c:axId val="52813486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32904"/>
        <c:crosses val="autoZero"/>
        <c:auto val="1"/>
        <c:lblAlgn val="ctr"/>
        <c:lblOffset val="100"/>
        <c:noMultiLvlLbl val="0"/>
      </c:catAx>
      <c:valAx>
        <c:axId val="52813290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34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2020-07-27</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'July 27, 2020'!$B$2:$B$3</c:f>
              <c:strCache>
                <c:ptCount val="2"/>
                <c:pt idx="0">
                  <c:v>Total Hospital</c:v>
                </c:pt>
                <c:pt idx="1">
                  <c:v>385</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27,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27, 2020'!$B$4:$B$16</c:f>
              <c:numCache>
                <c:formatCode>General</c:formatCode>
                <c:ptCount val="13"/>
                <c:pt idx="0">
                  <c:v>12</c:v>
                </c:pt>
                <c:pt idx="1">
                  <c:v>83</c:v>
                </c:pt>
                <c:pt idx="2" formatCode="0">
                  <c:v>82</c:v>
                </c:pt>
                <c:pt idx="3">
                  <c:v>193</c:v>
                </c:pt>
                <c:pt idx="4">
                  <c:v>0</c:v>
                </c:pt>
                <c:pt idx="5">
                  <c:v>0</c:v>
                </c:pt>
                <c:pt idx="6">
                  <c:v>2</c:v>
                </c:pt>
                <c:pt idx="7">
                  <c:v>0</c:v>
                </c:pt>
                <c:pt idx="8">
                  <c:v>13</c:v>
                </c:pt>
                <c:pt idx="9">
                  <c:v>0</c:v>
                </c:pt>
                <c:pt idx="10">
                  <c:v>0</c:v>
                </c:pt>
                <c:pt idx="11">
                  <c:v>0</c:v>
                </c:pt>
                <c:pt idx="12">
                  <c:v>0</c:v>
                </c:pt>
              </c:numCache>
            </c:numRef>
          </c:val>
          <c:extLst>
            <c:ext xmlns:c16="http://schemas.microsoft.com/office/drawing/2014/chart" uri="{C3380CC4-5D6E-409C-BE32-E72D297353CC}">
              <c16:uniqueId val="{00000000-058B-2444-A349-D36B367A577A}"/>
            </c:ext>
          </c:extLst>
        </c:ser>
        <c:ser>
          <c:idx val="1"/>
          <c:order val="1"/>
          <c:tx>
            <c:strRef>
              <c:f>'July 27, 2020'!$C$2:$C$3</c:f>
              <c:strCache>
                <c:ptCount val="2"/>
                <c:pt idx="0">
                  <c:v>Total ICU</c:v>
                </c:pt>
                <c:pt idx="1">
                  <c:v>64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58B-2444-A349-D36B367A577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27,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27, 2020'!$C$4:$C$16</c:f>
              <c:numCache>
                <c:formatCode>General</c:formatCode>
                <c:ptCount val="13"/>
                <c:pt idx="0">
                  <c:v>3</c:v>
                </c:pt>
                <c:pt idx="1">
                  <c:v>18</c:v>
                </c:pt>
                <c:pt idx="2">
                  <c:v>30</c:v>
                </c:pt>
                <c:pt idx="3">
                  <c:v>7</c:v>
                </c:pt>
                <c:pt idx="4">
                  <c:v>0</c:v>
                </c:pt>
                <c:pt idx="5">
                  <c:v>0</c:v>
                </c:pt>
                <c:pt idx="6">
                  <c:v>2</c:v>
                </c:pt>
                <c:pt idx="7">
                  <c:v>0</c:v>
                </c:pt>
                <c:pt idx="8">
                  <c:v>4</c:v>
                </c:pt>
                <c:pt idx="9">
                  <c:v>0</c:v>
                </c:pt>
                <c:pt idx="10">
                  <c:v>0</c:v>
                </c:pt>
                <c:pt idx="11">
                  <c:v>0</c:v>
                </c:pt>
                <c:pt idx="12">
                  <c:v>0</c:v>
                </c:pt>
              </c:numCache>
            </c:numRef>
          </c:val>
          <c:extLst>
            <c:ext xmlns:c16="http://schemas.microsoft.com/office/drawing/2014/chart" uri="{C3380CC4-5D6E-409C-BE32-E72D297353CC}">
              <c16:uniqueId val="{00000002-058B-2444-A349-D36B367A577A}"/>
            </c:ext>
          </c:extLst>
        </c:ser>
        <c:dLbls>
          <c:dLblPos val="outEnd"/>
          <c:showLegendKey val="0"/>
          <c:showVal val="1"/>
          <c:showCatName val="0"/>
          <c:showSerName val="0"/>
          <c:showPercent val="0"/>
          <c:showBubbleSize val="0"/>
        </c:dLbls>
        <c:gapWidth val="100"/>
        <c:overlap val="-24"/>
        <c:axId val="528123888"/>
        <c:axId val="528131336"/>
      </c:barChart>
      <c:catAx>
        <c:axId val="52812388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31336"/>
        <c:crosses val="autoZero"/>
        <c:auto val="1"/>
        <c:lblAlgn val="ctr"/>
        <c:lblOffset val="100"/>
        <c:noMultiLvlLbl val="0"/>
      </c:catAx>
      <c:valAx>
        <c:axId val="52813133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23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2020-07-24</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'July 24, 2020'!$B$2:$B$3</c:f>
              <c:strCache>
                <c:ptCount val="2"/>
                <c:pt idx="0">
                  <c:v>Total Hospital</c:v>
                </c:pt>
                <c:pt idx="1">
                  <c:v>485</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24,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24, 2020'!$B$4:$B$16</c:f>
              <c:numCache>
                <c:formatCode>General</c:formatCode>
                <c:ptCount val="13"/>
                <c:pt idx="0">
                  <c:v>16</c:v>
                </c:pt>
                <c:pt idx="1">
                  <c:v>106</c:v>
                </c:pt>
                <c:pt idx="2" formatCode="0">
                  <c:v>141</c:v>
                </c:pt>
                <c:pt idx="3">
                  <c:v>208</c:v>
                </c:pt>
                <c:pt idx="4">
                  <c:v>0</c:v>
                </c:pt>
                <c:pt idx="5">
                  <c:v>0</c:v>
                </c:pt>
                <c:pt idx="6">
                  <c:v>1</c:v>
                </c:pt>
                <c:pt idx="7">
                  <c:v>0</c:v>
                </c:pt>
                <c:pt idx="8">
                  <c:v>13</c:v>
                </c:pt>
                <c:pt idx="9">
                  <c:v>0</c:v>
                </c:pt>
                <c:pt idx="10">
                  <c:v>0</c:v>
                </c:pt>
                <c:pt idx="11">
                  <c:v>0</c:v>
                </c:pt>
                <c:pt idx="12">
                  <c:v>0</c:v>
                </c:pt>
              </c:numCache>
            </c:numRef>
          </c:val>
          <c:extLst>
            <c:ext xmlns:c16="http://schemas.microsoft.com/office/drawing/2014/chart" uri="{C3380CC4-5D6E-409C-BE32-E72D297353CC}">
              <c16:uniqueId val="{00000000-8E31-EA4E-AA72-3263E0F7BCF0}"/>
            </c:ext>
          </c:extLst>
        </c:ser>
        <c:ser>
          <c:idx val="1"/>
          <c:order val="1"/>
          <c:tx>
            <c:strRef>
              <c:f>'July 24, 2020'!$C$2:$C$3</c:f>
              <c:strCache>
                <c:ptCount val="2"/>
                <c:pt idx="0">
                  <c:v>Total ICU</c:v>
                </c:pt>
                <c:pt idx="1">
                  <c:v>72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31-EA4E-AA72-3263E0F7BCF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24,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24, 2020'!$C$4:$C$16</c:f>
              <c:numCache>
                <c:formatCode>General</c:formatCode>
                <c:ptCount val="13"/>
                <c:pt idx="0">
                  <c:v>3</c:v>
                </c:pt>
                <c:pt idx="1">
                  <c:v>21</c:v>
                </c:pt>
                <c:pt idx="2">
                  <c:v>31</c:v>
                </c:pt>
                <c:pt idx="3">
                  <c:v>12</c:v>
                </c:pt>
                <c:pt idx="4">
                  <c:v>0</c:v>
                </c:pt>
                <c:pt idx="5">
                  <c:v>0</c:v>
                </c:pt>
                <c:pt idx="6">
                  <c:v>1</c:v>
                </c:pt>
                <c:pt idx="7">
                  <c:v>0</c:v>
                </c:pt>
                <c:pt idx="8">
                  <c:v>4</c:v>
                </c:pt>
                <c:pt idx="9">
                  <c:v>0</c:v>
                </c:pt>
                <c:pt idx="10">
                  <c:v>0</c:v>
                </c:pt>
                <c:pt idx="11">
                  <c:v>0</c:v>
                </c:pt>
                <c:pt idx="12">
                  <c:v>0</c:v>
                </c:pt>
              </c:numCache>
            </c:numRef>
          </c:val>
          <c:extLst>
            <c:ext xmlns:c16="http://schemas.microsoft.com/office/drawing/2014/chart" uri="{C3380CC4-5D6E-409C-BE32-E72D297353CC}">
              <c16:uniqueId val="{00000002-8E31-EA4E-AA72-3263E0F7BCF0}"/>
            </c:ext>
          </c:extLst>
        </c:ser>
        <c:dLbls>
          <c:dLblPos val="outEnd"/>
          <c:showLegendKey val="0"/>
          <c:showVal val="1"/>
          <c:showCatName val="0"/>
          <c:showSerName val="0"/>
          <c:showPercent val="0"/>
          <c:showBubbleSize val="0"/>
        </c:dLbls>
        <c:gapWidth val="100"/>
        <c:overlap val="-24"/>
        <c:axId val="528130552"/>
        <c:axId val="528128592"/>
      </c:barChart>
      <c:catAx>
        <c:axId val="52813055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28592"/>
        <c:crosses val="autoZero"/>
        <c:auto val="1"/>
        <c:lblAlgn val="ctr"/>
        <c:lblOffset val="100"/>
        <c:noMultiLvlLbl val="0"/>
      </c:catAx>
      <c:valAx>
        <c:axId val="52812859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30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2020-07-22</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'July 22, 2020'!$B$2:$B$3</c:f>
              <c:strCache>
                <c:ptCount val="2"/>
                <c:pt idx="0">
                  <c:v>Total Hospital</c:v>
                </c:pt>
                <c:pt idx="1">
                  <c:v>467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22,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22, 2020'!$B$4:$B$16</c:f>
              <c:numCache>
                <c:formatCode>General</c:formatCode>
                <c:ptCount val="13"/>
                <c:pt idx="0">
                  <c:v>15</c:v>
                </c:pt>
                <c:pt idx="1">
                  <c:v>93</c:v>
                </c:pt>
                <c:pt idx="2" formatCode="0">
                  <c:v>128</c:v>
                </c:pt>
                <c:pt idx="3">
                  <c:v>219</c:v>
                </c:pt>
                <c:pt idx="4">
                  <c:v>0</c:v>
                </c:pt>
                <c:pt idx="5">
                  <c:v>0</c:v>
                </c:pt>
                <c:pt idx="6">
                  <c:v>0</c:v>
                </c:pt>
                <c:pt idx="7">
                  <c:v>0</c:v>
                </c:pt>
                <c:pt idx="8">
                  <c:v>12</c:v>
                </c:pt>
                <c:pt idx="9">
                  <c:v>0</c:v>
                </c:pt>
                <c:pt idx="10">
                  <c:v>0</c:v>
                </c:pt>
                <c:pt idx="11">
                  <c:v>0</c:v>
                </c:pt>
                <c:pt idx="12">
                  <c:v>0</c:v>
                </c:pt>
              </c:numCache>
            </c:numRef>
          </c:val>
          <c:extLst>
            <c:ext xmlns:c16="http://schemas.microsoft.com/office/drawing/2014/chart" uri="{C3380CC4-5D6E-409C-BE32-E72D297353CC}">
              <c16:uniqueId val="{00000000-D4AB-2942-A654-5BEFB674D5A6}"/>
            </c:ext>
          </c:extLst>
        </c:ser>
        <c:ser>
          <c:idx val="1"/>
          <c:order val="1"/>
          <c:tx>
            <c:strRef>
              <c:f>'July 22, 2020'!$C$2:$C$3</c:f>
              <c:strCache>
                <c:ptCount val="2"/>
                <c:pt idx="0">
                  <c:v>Total ICU</c:v>
                </c:pt>
                <c:pt idx="1">
                  <c:v>75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4AB-2942-A654-5BEFB674D5A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22,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22, 2020'!$C$4:$C$16</c:f>
              <c:numCache>
                <c:formatCode>General</c:formatCode>
                <c:ptCount val="13"/>
                <c:pt idx="0">
                  <c:v>3</c:v>
                </c:pt>
                <c:pt idx="1">
                  <c:v>16</c:v>
                </c:pt>
                <c:pt idx="2">
                  <c:v>37</c:v>
                </c:pt>
                <c:pt idx="3">
                  <c:v>16</c:v>
                </c:pt>
                <c:pt idx="4">
                  <c:v>0</c:v>
                </c:pt>
                <c:pt idx="5">
                  <c:v>0</c:v>
                </c:pt>
                <c:pt idx="6">
                  <c:v>0</c:v>
                </c:pt>
                <c:pt idx="7">
                  <c:v>0</c:v>
                </c:pt>
                <c:pt idx="8">
                  <c:v>3</c:v>
                </c:pt>
                <c:pt idx="9">
                  <c:v>0</c:v>
                </c:pt>
                <c:pt idx="10">
                  <c:v>0</c:v>
                </c:pt>
                <c:pt idx="11">
                  <c:v>0</c:v>
                </c:pt>
                <c:pt idx="12">
                  <c:v>0</c:v>
                </c:pt>
              </c:numCache>
            </c:numRef>
          </c:val>
          <c:extLst>
            <c:ext xmlns:c16="http://schemas.microsoft.com/office/drawing/2014/chart" uri="{C3380CC4-5D6E-409C-BE32-E72D297353CC}">
              <c16:uniqueId val="{00000002-D4AB-2942-A654-5BEFB674D5A6}"/>
            </c:ext>
          </c:extLst>
        </c:ser>
        <c:dLbls>
          <c:dLblPos val="outEnd"/>
          <c:showLegendKey val="0"/>
          <c:showVal val="1"/>
          <c:showCatName val="0"/>
          <c:showSerName val="0"/>
          <c:showPercent val="0"/>
          <c:showBubbleSize val="0"/>
        </c:dLbls>
        <c:gapWidth val="100"/>
        <c:overlap val="-24"/>
        <c:axId val="528129376"/>
        <c:axId val="528130160"/>
      </c:barChart>
      <c:catAx>
        <c:axId val="52812937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30160"/>
        <c:crosses val="autoZero"/>
        <c:auto val="1"/>
        <c:lblAlgn val="ctr"/>
        <c:lblOffset val="100"/>
        <c:noMultiLvlLbl val="0"/>
      </c:catAx>
      <c:valAx>
        <c:axId val="52813016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29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2020-07-20</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'July 20, 2020'!$B$2:$B$3</c:f>
              <c:strCache>
                <c:ptCount val="2"/>
                <c:pt idx="0">
                  <c:v>Total Hospital</c:v>
                </c:pt>
                <c:pt idx="1">
                  <c:v>447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20,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20, 2020'!$B$4:$B$16</c:f>
              <c:numCache>
                <c:formatCode>General</c:formatCode>
                <c:ptCount val="13"/>
                <c:pt idx="0">
                  <c:v>18</c:v>
                </c:pt>
                <c:pt idx="1">
                  <c:v>68</c:v>
                </c:pt>
                <c:pt idx="2" formatCode="0">
                  <c:v>115</c:v>
                </c:pt>
                <c:pt idx="3">
                  <c:v>234</c:v>
                </c:pt>
                <c:pt idx="4">
                  <c:v>0</c:v>
                </c:pt>
                <c:pt idx="5">
                  <c:v>0</c:v>
                </c:pt>
                <c:pt idx="6">
                  <c:v>0</c:v>
                </c:pt>
                <c:pt idx="7">
                  <c:v>0</c:v>
                </c:pt>
                <c:pt idx="8">
                  <c:v>12</c:v>
                </c:pt>
                <c:pt idx="9">
                  <c:v>0</c:v>
                </c:pt>
                <c:pt idx="10">
                  <c:v>0</c:v>
                </c:pt>
                <c:pt idx="11">
                  <c:v>0</c:v>
                </c:pt>
                <c:pt idx="12">
                  <c:v>0</c:v>
                </c:pt>
              </c:numCache>
            </c:numRef>
          </c:val>
          <c:extLst>
            <c:ext xmlns:c16="http://schemas.microsoft.com/office/drawing/2014/chart" uri="{C3380CC4-5D6E-409C-BE32-E72D297353CC}">
              <c16:uniqueId val="{00000000-FACF-F24E-8AB5-78E8E916A448}"/>
            </c:ext>
          </c:extLst>
        </c:ser>
        <c:ser>
          <c:idx val="1"/>
          <c:order val="1"/>
          <c:tx>
            <c:strRef>
              <c:f>'July 20, 2020'!$C$2:$C$3</c:f>
              <c:strCache>
                <c:ptCount val="2"/>
                <c:pt idx="0">
                  <c:v>Total ICU</c:v>
                </c:pt>
                <c:pt idx="1">
                  <c:v>72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CF-F24E-8AB5-78E8E916A44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20,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20, 2020'!$C$4:$C$16</c:f>
              <c:numCache>
                <c:formatCode>General</c:formatCode>
                <c:ptCount val="13"/>
                <c:pt idx="0">
                  <c:v>2</c:v>
                </c:pt>
                <c:pt idx="1">
                  <c:v>13</c:v>
                </c:pt>
                <c:pt idx="2">
                  <c:v>37</c:v>
                </c:pt>
                <c:pt idx="3">
                  <c:v>17</c:v>
                </c:pt>
                <c:pt idx="4">
                  <c:v>0</c:v>
                </c:pt>
                <c:pt idx="5">
                  <c:v>0</c:v>
                </c:pt>
                <c:pt idx="6">
                  <c:v>0</c:v>
                </c:pt>
                <c:pt idx="7">
                  <c:v>0</c:v>
                </c:pt>
                <c:pt idx="8">
                  <c:v>3</c:v>
                </c:pt>
                <c:pt idx="9">
                  <c:v>0</c:v>
                </c:pt>
                <c:pt idx="10">
                  <c:v>0</c:v>
                </c:pt>
                <c:pt idx="11">
                  <c:v>0</c:v>
                </c:pt>
                <c:pt idx="12">
                  <c:v>0</c:v>
                </c:pt>
              </c:numCache>
            </c:numRef>
          </c:val>
          <c:extLst>
            <c:ext xmlns:c16="http://schemas.microsoft.com/office/drawing/2014/chart" uri="{C3380CC4-5D6E-409C-BE32-E72D297353CC}">
              <c16:uniqueId val="{00000002-FACF-F24E-8AB5-78E8E916A448}"/>
            </c:ext>
          </c:extLst>
        </c:ser>
        <c:dLbls>
          <c:dLblPos val="outEnd"/>
          <c:showLegendKey val="0"/>
          <c:showVal val="1"/>
          <c:showCatName val="0"/>
          <c:showSerName val="0"/>
          <c:showPercent val="0"/>
          <c:showBubbleSize val="0"/>
        </c:dLbls>
        <c:gapWidth val="100"/>
        <c:overlap val="-24"/>
        <c:axId val="528128984"/>
        <c:axId val="528125456"/>
      </c:barChart>
      <c:catAx>
        <c:axId val="52812898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25456"/>
        <c:crosses val="autoZero"/>
        <c:auto val="1"/>
        <c:lblAlgn val="ctr"/>
        <c:lblOffset val="100"/>
        <c:noMultiLvlLbl val="0"/>
      </c:catAx>
      <c:valAx>
        <c:axId val="52812545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28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2020-07-17</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'July 17, 2020'!$B$2:$B$3</c:f>
              <c:strCache>
                <c:ptCount val="2"/>
                <c:pt idx="0">
                  <c:v>Total Hospital</c:v>
                </c:pt>
                <c:pt idx="1">
                  <c:v>446</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17,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17, 2020'!$B$4:$B$16</c:f>
              <c:numCache>
                <c:formatCode>General</c:formatCode>
                <c:ptCount val="13"/>
                <c:pt idx="0">
                  <c:v>14</c:v>
                </c:pt>
                <c:pt idx="1">
                  <c:v>69</c:v>
                </c:pt>
                <c:pt idx="2" formatCode="0">
                  <c:v>108</c:v>
                </c:pt>
                <c:pt idx="3">
                  <c:v>244</c:v>
                </c:pt>
                <c:pt idx="4">
                  <c:v>0</c:v>
                </c:pt>
                <c:pt idx="5">
                  <c:v>0</c:v>
                </c:pt>
                <c:pt idx="6">
                  <c:v>0</c:v>
                </c:pt>
                <c:pt idx="7">
                  <c:v>0</c:v>
                </c:pt>
                <c:pt idx="8">
                  <c:v>11</c:v>
                </c:pt>
                <c:pt idx="9">
                  <c:v>0</c:v>
                </c:pt>
                <c:pt idx="10">
                  <c:v>0</c:v>
                </c:pt>
                <c:pt idx="11">
                  <c:v>0</c:v>
                </c:pt>
                <c:pt idx="12">
                  <c:v>0</c:v>
                </c:pt>
              </c:numCache>
            </c:numRef>
          </c:val>
          <c:extLst>
            <c:ext xmlns:c16="http://schemas.microsoft.com/office/drawing/2014/chart" uri="{C3380CC4-5D6E-409C-BE32-E72D297353CC}">
              <c16:uniqueId val="{00000000-2764-A340-A33A-9DECDF5355DD}"/>
            </c:ext>
          </c:extLst>
        </c:ser>
        <c:ser>
          <c:idx val="1"/>
          <c:order val="1"/>
          <c:tx>
            <c:strRef>
              <c:f>'July 17, 2020'!$C$2:$C$3</c:f>
              <c:strCache>
                <c:ptCount val="2"/>
                <c:pt idx="0">
                  <c:v>Total ICU</c:v>
                </c:pt>
                <c:pt idx="1">
                  <c:v>61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64-A340-A33A-9DECDF5355D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17,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17, 2020'!$C$4:$C$16</c:f>
              <c:numCache>
                <c:formatCode>General</c:formatCode>
                <c:ptCount val="13"/>
                <c:pt idx="0">
                  <c:v>5</c:v>
                </c:pt>
                <c:pt idx="1">
                  <c:v>8</c:v>
                </c:pt>
                <c:pt idx="2">
                  <c:v>30</c:v>
                </c:pt>
                <c:pt idx="3">
                  <c:v>16</c:v>
                </c:pt>
                <c:pt idx="4">
                  <c:v>0</c:v>
                </c:pt>
                <c:pt idx="5">
                  <c:v>0</c:v>
                </c:pt>
                <c:pt idx="6">
                  <c:v>0</c:v>
                </c:pt>
                <c:pt idx="7">
                  <c:v>0</c:v>
                </c:pt>
                <c:pt idx="8">
                  <c:v>2</c:v>
                </c:pt>
                <c:pt idx="9">
                  <c:v>0</c:v>
                </c:pt>
                <c:pt idx="10">
                  <c:v>0</c:v>
                </c:pt>
                <c:pt idx="11">
                  <c:v>0</c:v>
                </c:pt>
                <c:pt idx="12">
                  <c:v>0</c:v>
                </c:pt>
              </c:numCache>
            </c:numRef>
          </c:val>
          <c:extLst>
            <c:ext xmlns:c16="http://schemas.microsoft.com/office/drawing/2014/chart" uri="{C3380CC4-5D6E-409C-BE32-E72D297353CC}">
              <c16:uniqueId val="{00000002-2764-A340-A33A-9DECDF5355DD}"/>
            </c:ext>
          </c:extLst>
        </c:ser>
        <c:dLbls>
          <c:dLblPos val="outEnd"/>
          <c:showLegendKey val="0"/>
          <c:showVal val="1"/>
          <c:showCatName val="0"/>
          <c:showSerName val="0"/>
          <c:showPercent val="0"/>
          <c:showBubbleSize val="0"/>
        </c:dLbls>
        <c:gapWidth val="100"/>
        <c:overlap val="-24"/>
        <c:axId val="528130944"/>
        <c:axId val="528132120"/>
      </c:barChart>
      <c:catAx>
        <c:axId val="52813094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32120"/>
        <c:crosses val="autoZero"/>
        <c:auto val="1"/>
        <c:lblAlgn val="ctr"/>
        <c:lblOffset val="100"/>
        <c:noMultiLvlLbl val="0"/>
      </c:catAx>
      <c:valAx>
        <c:axId val="52813212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30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2020-07-15</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'July 15, 2020'!$B$2:$B$3</c:f>
              <c:strCache>
                <c:ptCount val="2"/>
                <c:pt idx="0">
                  <c:v>Total Hospital</c:v>
                </c:pt>
                <c:pt idx="1">
                  <c:v>456</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15,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15, 2020'!$B$4:$B$16</c:f>
              <c:numCache>
                <c:formatCode>General</c:formatCode>
                <c:ptCount val="13"/>
                <c:pt idx="0">
                  <c:v>14</c:v>
                </c:pt>
                <c:pt idx="1">
                  <c:v>55</c:v>
                </c:pt>
                <c:pt idx="2" formatCode="0">
                  <c:v>115</c:v>
                </c:pt>
                <c:pt idx="3">
                  <c:v>265</c:v>
                </c:pt>
                <c:pt idx="4">
                  <c:v>1</c:v>
                </c:pt>
                <c:pt idx="5">
                  <c:v>0</c:v>
                </c:pt>
                <c:pt idx="6">
                  <c:v>0</c:v>
                </c:pt>
                <c:pt idx="7">
                  <c:v>0</c:v>
                </c:pt>
                <c:pt idx="8">
                  <c:v>6</c:v>
                </c:pt>
                <c:pt idx="9">
                  <c:v>0</c:v>
                </c:pt>
                <c:pt idx="10">
                  <c:v>0</c:v>
                </c:pt>
                <c:pt idx="11">
                  <c:v>0</c:v>
                </c:pt>
                <c:pt idx="12">
                  <c:v>0</c:v>
                </c:pt>
              </c:numCache>
            </c:numRef>
          </c:val>
          <c:extLst>
            <c:ext xmlns:c16="http://schemas.microsoft.com/office/drawing/2014/chart" uri="{C3380CC4-5D6E-409C-BE32-E72D297353CC}">
              <c16:uniqueId val="{00000000-011C-6C4C-AEEE-2DE5871609E5}"/>
            </c:ext>
          </c:extLst>
        </c:ser>
        <c:ser>
          <c:idx val="1"/>
          <c:order val="1"/>
          <c:tx>
            <c:strRef>
              <c:f>'July 15, 2020'!$C$2:$C$3</c:f>
              <c:strCache>
                <c:ptCount val="2"/>
                <c:pt idx="0">
                  <c:v>Total ICU</c:v>
                </c:pt>
                <c:pt idx="1">
                  <c:v>71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1C-6C4C-AEEE-2DE5871609E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15,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15, 2020'!$C$4:$C$16</c:f>
              <c:numCache>
                <c:formatCode>General</c:formatCode>
                <c:ptCount val="13"/>
                <c:pt idx="0">
                  <c:v>5</c:v>
                </c:pt>
                <c:pt idx="1">
                  <c:v>13</c:v>
                </c:pt>
                <c:pt idx="2">
                  <c:v>31</c:v>
                </c:pt>
                <c:pt idx="3">
                  <c:v>20</c:v>
                </c:pt>
                <c:pt idx="4">
                  <c:v>0</c:v>
                </c:pt>
                <c:pt idx="5">
                  <c:v>0</c:v>
                </c:pt>
                <c:pt idx="6">
                  <c:v>0</c:v>
                </c:pt>
                <c:pt idx="7">
                  <c:v>0</c:v>
                </c:pt>
                <c:pt idx="8">
                  <c:v>2</c:v>
                </c:pt>
                <c:pt idx="9">
                  <c:v>0</c:v>
                </c:pt>
                <c:pt idx="10">
                  <c:v>0</c:v>
                </c:pt>
                <c:pt idx="11">
                  <c:v>0</c:v>
                </c:pt>
                <c:pt idx="12">
                  <c:v>0</c:v>
                </c:pt>
              </c:numCache>
            </c:numRef>
          </c:val>
          <c:extLst>
            <c:ext xmlns:c16="http://schemas.microsoft.com/office/drawing/2014/chart" uri="{C3380CC4-5D6E-409C-BE32-E72D297353CC}">
              <c16:uniqueId val="{00000002-011C-6C4C-AEEE-2DE5871609E5}"/>
            </c:ext>
          </c:extLst>
        </c:ser>
        <c:dLbls>
          <c:dLblPos val="outEnd"/>
          <c:showLegendKey val="0"/>
          <c:showVal val="1"/>
          <c:showCatName val="0"/>
          <c:showSerName val="0"/>
          <c:showPercent val="0"/>
          <c:showBubbleSize val="0"/>
        </c:dLbls>
        <c:gapWidth val="100"/>
        <c:overlap val="-24"/>
        <c:axId val="528133296"/>
        <c:axId val="528134080"/>
      </c:barChart>
      <c:catAx>
        <c:axId val="52813329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34080"/>
        <c:crosses val="autoZero"/>
        <c:auto val="1"/>
        <c:lblAlgn val="ctr"/>
        <c:lblOffset val="100"/>
        <c:noMultiLvlLbl val="0"/>
      </c:catAx>
      <c:valAx>
        <c:axId val="5281340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33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2020-07-13</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'July 13, 2020'!$B$2:$B$3</c:f>
              <c:strCache>
                <c:ptCount val="2"/>
                <c:pt idx="0">
                  <c:v>Total Hospital</c:v>
                </c:pt>
                <c:pt idx="1">
                  <c:v>459</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13,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13, 2020'!$B$4:$B$16</c:f>
              <c:numCache>
                <c:formatCode>General</c:formatCode>
                <c:ptCount val="13"/>
                <c:pt idx="0">
                  <c:v>16</c:v>
                </c:pt>
                <c:pt idx="1">
                  <c:v>50</c:v>
                </c:pt>
                <c:pt idx="2" formatCode="0">
                  <c:v>104</c:v>
                </c:pt>
                <c:pt idx="3">
                  <c:v>284</c:v>
                </c:pt>
                <c:pt idx="4">
                  <c:v>1</c:v>
                </c:pt>
                <c:pt idx="5">
                  <c:v>0</c:v>
                </c:pt>
                <c:pt idx="6">
                  <c:v>0</c:v>
                </c:pt>
                <c:pt idx="7">
                  <c:v>0</c:v>
                </c:pt>
                <c:pt idx="8">
                  <c:v>4</c:v>
                </c:pt>
                <c:pt idx="9">
                  <c:v>0</c:v>
                </c:pt>
                <c:pt idx="10">
                  <c:v>0</c:v>
                </c:pt>
                <c:pt idx="11">
                  <c:v>0</c:v>
                </c:pt>
                <c:pt idx="12">
                  <c:v>0</c:v>
                </c:pt>
              </c:numCache>
            </c:numRef>
          </c:val>
          <c:extLst>
            <c:ext xmlns:c16="http://schemas.microsoft.com/office/drawing/2014/chart" uri="{C3380CC4-5D6E-409C-BE32-E72D297353CC}">
              <c16:uniqueId val="{00000000-7081-8145-B1FB-4A7274859B40}"/>
            </c:ext>
          </c:extLst>
        </c:ser>
        <c:ser>
          <c:idx val="1"/>
          <c:order val="1"/>
          <c:tx>
            <c:strRef>
              <c:f>'July 13, 2020'!$C$2:$C$3</c:f>
              <c:strCache>
                <c:ptCount val="2"/>
                <c:pt idx="0">
                  <c:v>Total ICU</c:v>
                </c:pt>
                <c:pt idx="1">
                  <c:v>64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081-8145-B1FB-4A7274859B4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13,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13, 2020'!$C$4:$C$16</c:f>
              <c:numCache>
                <c:formatCode>General</c:formatCode>
                <c:ptCount val="13"/>
                <c:pt idx="0">
                  <c:v>5</c:v>
                </c:pt>
                <c:pt idx="1">
                  <c:v>9</c:v>
                </c:pt>
                <c:pt idx="2">
                  <c:v>28</c:v>
                </c:pt>
                <c:pt idx="3">
                  <c:v>21</c:v>
                </c:pt>
                <c:pt idx="4">
                  <c:v>0</c:v>
                </c:pt>
                <c:pt idx="5">
                  <c:v>0</c:v>
                </c:pt>
                <c:pt idx="6">
                  <c:v>0</c:v>
                </c:pt>
                <c:pt idx="7">
                  <c:v>0</c:v>
                </c:pt>
                <c:pt idx="8">
                  <c:v>1</c:v>
                </c:pt>
                <c:pt idx="9">
                  <c:v>0</c:v>
                </c:pt>
                <c:pt idx="10">
                  <c:v>0</c:v>
                </c:pt>
                <c:pt idx="11">
                  <c:v>0</c:v>
                </c:pt>
                <c:pt idx="12">
                  <c:v>0</c:v>
                </c:pt>
              </c:numCache>
            </c:numRef>
          </c:val>
          <c:extLst>
            <c:ext xmlns:c16="http://schemas.microsoft.com/office/drawing/2014/chart" uri="{C3380CC4-5D6E-409C-BE32-E72D297353CC}">
              <c16:uniqueId val="{00000002-7081-8145-B1FB-4A7274859B40}"/>
            </c:ext>
          </c:extLst>
        </c:ser>
        <c:dLbls>
          <c:dLblPos val="outEnd"/>
          <c:showLegendKey val="0"/>
          <c:showVal val="1"/>
          <c:showCatName val="0"/>
          <c:showSerName val="0"/>
          <c:showPercent val="0"/>
          <c:showBubbleSize val="0"/>
        </c:dLbls>
        <c:gapWidth val="100"/>
        <c:overlap val="-24"/>
        <c:axId val="528134472"/>
        <c:axId val="528122712"/>
      </c:barChart>
      <c:catAx>
        <c:axId val="52813447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22712"/>
        <c:crosses val="autoZero"/>
        <c:auto val="1"/>
        <c:lblAlgn val="ctr"/>
        <c:lblOffset val="100"/>
        <c:noMultiLvlLbl val="0"/>
      </c:catAx>
      <c:valAx>
        <c:axId val="52812271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34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2020-07-10</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'July 10, 2020'!$B$2:$B$3</c:f>
              <c:strCache>
                <c:ptCount val="2"/>
                <c:pt idx="0">
                  <c:v>Total Hospital</c:v>
                </c:pt>
                <c:pt idx="1">
                  <c:v>479</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10,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10, 2020'!$B$4:$B$16</c:f>
              <c:numCache>
                <c:formatCode>General</c:formatCode>
                <c:ptCount val="13"/>
                <c:pt idx="0">
                  <c:v>17</c:v>
                </c:pt>
                <c:pt idx="1">
                  <c:v>46</c:v>
                </c:pt>
                <c:pt idx="2" formatCode="0">
                  <c:v>117</c:v>
                </c:pt>
                <c:pt idx="3">
                  <c:v>293</c:v>
                </c:pt>
                <c:pt idx="4">
                  <c:v>1</c:v>
                </c:pt>
                <c:pt idx="5">
                  <c:v>0</c:v>
                </c:pt>
                <c:pt idx="6">
                  <c:v>0</c:v>
                </c:pt>
                <c:pt idx="7">
                  <c:v>0</c:v>
                </c:pt>
                <c:pt idx="8">
                  <c:v>5</c:v>
                </c:pt>
                <c:pt idx="9">
                  <c:v>0</c:v>
                </c:pt>
                <c:pt idx="10">
                  <c:v>0</c:v>
                </c:pt>
                <c:pt idx="11">
                  <c:v>0</c:v>
                </c:pt>
                <c:pt idx="12">
                  <c:v>0</c:v>
                </c:pt>
              </c:numCache>
            </c:numRef>
          </c:val>
          <c:extLst>
            <c:ext xmlns:c16="http://schemas.microsoft.com/office/drawing/2014/chart" uri="{C3380CC4-5D6E-409C-BE32-E72D297353CC}">
              <c16:uniqueId val="{00000000-FF30-2D46-9C16-872ADDAF97C0}"/>
            </c:ext>
          </c:extLst>
        </c:ser>
        <c:ser>
          <c:idx val="1"/>
          <c:order val="1"/>
          <c:tx>
            <c:strRef>
              <c:f>'July 10, 2020'!$C$2:$C$3</c:f>
              <c:strCache>
                <c:ptCount val="2"/>
                <c:pt idx="0">
                  <c:v>Total ICU</c:v>
                </c:pt>
                <c:pt idx="1">
                  <c:v>70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F30-2D46-9C16-872ADDAF97C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10,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10, 2020'!$C$4:$C$16</c:f>
              <c:numCache>
                <c:formatCode>General</c:formatCode>
                <c:ptCount val="13"/>
                <c:pt idx="0">
                  <c:v>4</c:v>
                </c:pt>
                <c:pt idx="1">
                  <c:v>7</c:v>
                </c:pt>
                <c:pt idx="2">
                  <c:v>34</c:v>
                </c:pt>
                <c:pt idx="3">
                  <c:v>24</c:v>
                </c:pt>
                <c:pt idx="4">
                  <c:v>0</c:v>
                </c:pt>
                <c:pt idx="5">
                  <c:v>0</c:v>
                </c:pt>
                <c:pt idx="6">
                  <c:v>0</c:v>
                </c:pt>
                <c:pt idx="7">
                  <c:v>0</c:v>
                </c:pt>
                <c:pt idx="8">
                  <c:v>1</c:v>
                </c:pt>
                <c:pt idx="9">
                  <c:v>0</c:v>
                </c:pt>
                <c:pt idx="10">
                  <c:v>0</c:v>
                </c:pt>
                <c:pt idx="11">
                  <c:v>0</c:v>
                </c:pt>
                <c:pt idx="12">
                  <c:v>0</c:v>
                </c:pt>
              </c:numCache>
            </c:numRef>
          </c:val>
          <c:extLst>
            <c:ext xmlns:c16="http://schemas.microsoft.com/office/drawing/2014/chart" uri="{C3380CC4-5D6E-409C-BE32-E72D297353CC}">
              <c16:uniqueId val="{00000002-FF30-2D46-9C16-872ADDAF97C0}"/>
            </c:ext>
          </c:extLst>
        </c:ser>
        <c:dLbls>
          <c:dLblPos val="outEnd"/>
          <c:showLegendKey val="0"/>
          <c:showVal val="1"/>
          <c:showCatName val="0"/>
          <c:showSerName val="0"/>
          <c:showPercent val="0"/>
          <c:showBubbleSize val="0"/>
        </c:dLbls>
        <c:gapWidth val="100"/>
        <c:overlap val="-24"/>
        <c:axId val="528127024"/>
        <c:axId val="528123496"/>
      </c:barChart>
      <c:catAx>
        <c:axId val="52812702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23496"/>
        <c:crosses val="autoZero"/>
        <c:auto val="1"/>
        <c:lblAlgn val="ctr"/>
        <c:lblOffset val="100"/>
        <c:noMultiLvlLbl val="0"/>
      </c:catAx>
      <c:valAx>
        <c:axId val="52812349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27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2020-07-08</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'July 08, 2020'!$B$2:$B$3</c:f>
              <c:strCache>
                <c:ptCount val="2"/>
                <c:pt idx="0">
                  <c:v>Total Hospital</c:v>
                </c:pt>
                <c:pt idx="1">
                  <c:v>503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08,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08, 2020'!$B$4:$B$16</c:f>
              <c:numCache>
                <c:formatCode>General</c:formatCode>
                <c:ptCount val="13"/>
                <c:pt idx="0">
                  <c:v>16</c:v>
                </c:pt>
                <c:pt idx="1">
                  <c:v>54</c:v>
                </c:pt>
                <c:pt idx="2" formatCode="0">
                  <c:v>123</c:v>
                </c:pt>
                <c:pt idx="3">
                  <c:v>304</c:v>
                </c:pt>
                <c:pt idx="4">
                  <c:v>2</c:v>
                </c:pt>
                <c:pt idx="5">
                  <c:v>0</c:v>
                </c:pt>
                <c:pt idx="6">
                  <c:v>0</c:v>
                </c:pt>
                <c:pt idx="7">
                  <c:v>0</c:v>
                </c:pt>
                <c:pt idx="8">
                  <c:v>4</c:v>
                </c:pt>
                <c:pt idx="9">
                  <c:v>0</c:v>
                </c:pt>
                <c:pt idx="10">
                  <c:v>0</c:v>
                </c:pt>
                <c:pt idx="11">
                  <c:v>0</c:v>
                </c:pt>
                <c:pt idx="12">
                  <c:v>0</c:v>
                </c:pt>
              </c:numCache>
            </c:numRef>
          </c:val>
          <c:extLst>
            <c:ext xmlns:c16="http://schemas.microsoft.com/office/drawing/2014/chart" uri="{C3380CC4-5D6E-409C-BE32-E72D297353CC}">
              <c16:uniqueId val="{00000000-D5CA-584A-8F77-43959C3272C2}"/>
            </c:ext>
          </c:extLst>
        </c:ser>
        <c:ser>
          <c:idx val="1"/>
          <c:order val="1"/>
          <c:tx>
            <c:strRef>
              <c:f>'July 08, 2020'!$C$2:$C$3</c:f>
              <c:strCache>
                <c:ptCount val="2"/>
                <c:pt idx="0">
                  <c:v>Total ICU</c:v>
                </c:pt>
                <c:pt idx="1">
                  <c:v>72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CA-584A-8F77-43959C3272C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08,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08, 2020'!$C$4:$C$16</c:f>
              <c:numCache>
                <c:formatCode>General</c:formatCode>
                <c:ptCount val="13"/>
                <c:pt idx="0">
                  <c:v>4</c:v>
                </c:pt>
                <c:pt idx="1">
                  <c:v>6</c:v>
                </c:pt>
                <c:pt idx="2">
                  <c:v>35</c:v>
                </c:pt>
                <c:pt idx="3">
                  <c:v>27</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D5CA-584A-8F77-43959C3272C2}"/>
            </c:ext>
          </c:extLst>
        </c:ser>
        <c:dLbls>
          <c:dLblPos val="outEnd"/>
          <c:showLegendKey val="0"/>
          <c:showVal val="1"/>
          <c:showCatName val="0"/>
          <c:showSerName val="0"/>
          <c:showPercent val="0"/>
          <c:showBubbleSize val="0"/>
        </c:dLbls>
        <c:gapWidth val="100"/>
        <c:overlap val="-24"/>
        <c:axId val="528126240"/>
        <c:axId val="528126632"/>
      </c:barChart>
      <c:catAx>
        <c:axId val="52812624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26632"/>
        <c:crosses val="autoZero"/>
        <c:auto val="1"/>
        <c:lblAlgn val="ctr"/>
        <c:lblOffset val="100"/>
        <c:noMultiLvlLbl val="0"/>
      </c:catAx>
      <c:valAx>
        <c:axId val="52812663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262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2022-03-28</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'March 28, 2022'!$B$2:$B$3</c:f>
              <c:strCache>
                <c:ptCount val="2"/>
                <c:pt idx="0">
                  <c:v>Total Hospital</c:v>
                </c:pt>
                <c:pt idx="1">
                  <c:v>3734</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28,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28, 2022'!$B$4:$B$16</c:f>
              <c:numCache>
                <c:formatCode>General</c:formatCode>
                <c:ptCount val="13"/>
                <c:pt idx="0">
                  <c:v>260</c:v>
                </c:pt>
                <c:pt idx="1">
                  <c:v>956</c:v>
                </c:pt>
                <c:pt idx="2" formatCode="0">
                  <c:v>655</c:v>
                </c:pt>
                <c:pt idx="3" formatCode="#,##0">
                  <c:v>1115</c:v>
                </c:pt>
                <c:pt idx="4">
                  <c:v>45</c:v>
                </c:pt>
                <c:pt idx="5">
                  <c:v>129</c:v>
                </c:pt>
                <c:pt idx="6">
                  <c:v>165</c:v>
                </c:pt>
                <c:pt idx="7">
                  <c:v>22</c:v>
                </c:pt>
                <c:pt idx="8">
                  <c:v>306</c:v>
                </c:pt>
                <c:pt idx="9">
                  <c:v>40</c:v>
                </c:pt>
                <c:pt idx="10">
                  <c:v>8</c:v>
                </c:pt>
                <c:pt idx="11">
                  <c:v>0</c:v>
                </c:pt>
                <c:pt idx="12">
                  <c:v>33</c:v>
                </c:pt>
              </c:numCache>
            </c:numRef>
          </c:val>
          <c:extLst>
            <c:ext xmlns:c16="http://schemas.microsoft.com/office/drawing/2014/chart" uri="{C3380CC4-5D6E-409C-BE32-E72D297353CC}">
              <c16:uniqueId val="{00000000-EDA9-447A-B34A-7F5482B615D8}"/>
            </c:ext>
          </c:extLst>
        </c:ser>
        <c:ser>
          <c:idx val="1"/>
          <c:order val="1"/>
          <c:tx>
            <c:strRef>
              <c:f>'March 28, 2022'!$C$2:$C$3</c:f>
              <c:strCache>
                <c:ptCount val="2"/>
                <c:pt idx="0">
                  <c:v>Total ICU</c:v>
                </c:pt>
                <c:pt idx="1">
                  <c:v>384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28,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28, 2022'!$C$4:$C$16</c:f>
              <c:numCache>
                <c:formatCode>General</c:formatCode>
                <c:ptCount val="13"/>
                <c:pt idx="0">
                  <c:v>50</c:v>
                </c:pt>
                <c:pt idx="1">
                  <c:v>56</c:v>
                </c:pt>
                <c:pt idx="2">
                  <c:v>158</c:v>
                </c:pt>
                <c:pt idx="3">
                  <c:v>53</c:v>
                </c:pt>
                <c:pt idx="4">
                  <c:v>11</c:v>
                </c:pt>
                <c:pt idx="5">
                  <c:v>16</c:v>
                </c:pt>
                <c:pt idx="6">
                  <c:v>14</c:v>
                </c:pt>
                <c:pt idx="7">
                  <c:v>0</c:v>
                </c:pt>
                <c:pt idx="8">
                  <c:v>19</c:v>
                </c:pt>
                <c:pt idx="9">
                  <c:v>7</c:v>
                </c:pt>
                <c:pt idx="10">
                  <c:v>0</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43600"/>
        <c:axId val="451737328"/>
      </c:barChart>
      <c:catAx>
        <c:axId val="45174360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37328"/>
        <c:crosses val="autoZero"/>
        <c:auto val="1"/>
        <c:lblAlgn val="ctr"/>
        <c:lblOffset val="100"/>
        <c:noMultiLvlLbl val="0"/>
      </c:catAx>
      <c:valAx>
        <c:axId val="45173732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43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2020-07-06</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'July 06, 2020'!$B$2:$B$3</c:f>
              <c:strCache>
                <c:ptCount val="2"/>
                <c:pt idx="0">
                  <c:v>Total Hospital</c:v>
                </c:pt>
                <c:pt idx="1">
                  <c:v>532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06, 2020'!$A$4:$A$16</c:f>
              <c:strCache>
                <c:ptCount val="13"/>
                <c:pt idx="0">
                  <c:v>BC1</c:v>
                </c:pt>
                <c:pt idx="1">
                  <c:v>AB2*</c:v>
                </c:pt>
                <c:pt idx="2">
                  <c:v>ON</c:v>
                </c:pt>
                <c:pt idx="3">
                  <c:v>QC3</c:v>
                </c:pt>
                <c:pt idx="4">
                  <c:v>NS</c:v>
                </c:pt>
                <c:pt idx="5">
                  <c:v>NB4</c:v>
                </c:pt>
                <c:pt idx="6">
                  <c:v>MB5</c:v>
                </c:pt>
                <c:pt idx="7">
                  <c:v>PEI6</c:v>
                </c:pt>
                <c:pt idx="8">
                  <c:v>SK7</c:v>
                </c:pt>
                <c:pt idx="9">
                  <c:v>NL</c:v>
                </c:pt>
                <c:pt idx="10">
                  <c:v>NT8</c:v>
                </c:pt>
                <c:pt idx="11">
                  <c:v>YT9</c:v>
                </c:pt>
                <c:pt idx="12">
                  <c:v>NU10</c:v>
                </c:pt>
              </c:strCache>
            </c:strRef>
          </c:cat>
          <c:val>
            <c:numRef>
              <c:f>'July 06, 2020'!$B$4:$B$16</c:f>
              <c:numCache>
                <c:formatCode>General</c:formatCode>
                <c:ptCount val="13"/>
                <c:pt idx="0">
                  <c:v>19</c:v>
                </c:pt>
                <c:pt idx="1">
                  <c:v>44</c:v>
                </c:pt>
                <c:pt idx="2" formatCode="0">
                  <c:v>118</c:v>
                </c:pt>
                <c:pt idx="3">
                  <c:v>345</c:v>
                </c:pt>
                <c:pt idx="4">
                  <c:v>2</c:v>
                </c:pt>
                <c:pt idx="5">
                  <c:v>0</c:v>
                </c:pt>
                <c:pt idx="6">
                  <c:v>0</c:v>
                </c:pt>
                <c:pt idx="7">
                  <c:v>0</c:v>
                </c:pt>
                <c:pt idx="8">
                  <c:v>4</c:v>
                </c:pt>
                <c:pt idx="9">
                  <c:v>0</c:v>
                </c:pt>
                <c:pt idx="10">
                  <c:v>0</c:v>
                </c:pt>
                <c:pt idx="11">
                  <c:v>0</c:v>
                </c:pt>
                <c:pt idx="12">
                  <c:v>0</c:v>
                </c:pt>
              </c:numCache>
            </c:numRef>
          </c:val>
          <c:extLst>
            <c:ext xmlns:c16="http://schemas.microsoft.com/office/drawing/2014/chart" uri="{C3380CC4-5D6E-409C-BE32-E72D297353CC}">
              <c16:uniqueId val="{00000000-AC2C-5D47-87C8-3D20284C0982}"/>
            </c:ext>
          </c:extLst>
        </c:ser>
        <c:ser>
          <c:idx val="1"/>
          <c:order val="1"/>
          <c:tx>
            <c:strRef>
              <c:f>'July 06, 2020'!$C$2:$C$3</c:f>
              <c:strCache>
                <c:ptCount val="2"/>
                <c:pt idx="0">
                  <c:v>Total ICU</c:v>
                </c:pt>
                <c:pt idx="1">
                  <c:v>74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C2C-5D47-87C8-3D20284C098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06, 2020'!$A$4:$A$16</c:f>
              <c:strCache>
                <c:ptCount val="13"/>
                <c:pt idx="0">
                  <c:v>BC1</c:v>
                </c:pt>
                <c:pt idx="1">
                  <c:v>AB2*</c:v>
                </c:pt>
                <c:pt idx="2">
                  <c:v>ON</c:v>
                </c:pt>
                <c:pt idx="3">
                  <c:v>QC3</c:v>
                </c:pt>
                <c:pt idx="4">
                  <c:v>NS</c:v>
                </c:pt>
                <c:pt idx="5">
                  <c:v>NB4</c:v>
                </c:pt>
                <c:pt idx="6">
                  <c:v>MB5</c:v>
                </c:pt>
                <c:pt idx="7">
                  <c:v>PEI6</c:v>
                </c:pt>
                <c:pt idx="8">
                  <c:v>SK7</c:v>
                </c:pt>
                <c:pt idx="9">
                  <c:v>NL</c:v>
                </c:pt>
                <c:pt idx="10">
                  <c:v>NT8</c:v>
                </c:pt>
                <c:pt idx="11">
                  <c:v>YT9</c:v>
                </c:pt>
                <c:pt idx="12">
                  <c:v>NU10</c:v>
                </c:pt>
              </c:strCache>
            </c:strRef>
          </c:cat>
          <c:val>
            <c:numRef>
              <c:f>'July 06, 2020'!$C$4:$C$16</c:f>
              <c:numCache>
                <c:formatCode>General</c:formatCode>
                <c:ptCount val="13"/>
                <c:pt idx="0">
                  <c:v>2</c:v>
                </c:pt>
                <c:pt idx="1">
                  <c:v>8</c:v>
                </c:pt>
                <c:pt idx="2">
                  <c:v>36</c:v>
                </c:pt>
                <c:pt idx="3">
                  <c:v>25</c:v>
                </c:pt>
                <c:pt idx="4">
                  <c:v>0</c:v>
                </c:pt>
                <c:pt idx="5">
                  <c:v>0</c:v>
                </c:pt>
                <c:pt idx="6">
                  <c:v>0</c:v>
                </c:pt>
                <c:pt idx="7">
                  <c:v>0</c:v>
                </c:pt>
                <c:pt idx="8">
                  <c:v>3</c:v>
                </c:pt>
                <c:pt idx="9">
                  <c:v>0</c:v>
                </c:pt>
                <c:pt idx="10">
                  <c:v>0</c:v>
                </c:pt>
                <c:pt idx="11">
                  <c:v>0</c:v>
                </c:pt>
                <c:pt idx="12">
                  <c:v>0</c:v>
                </c:pt>
              </c:numCache>
            </c:numRef>
          </c:val>
          <c:extLst>
            <c:ext xmlns:c16="http://schemas.microsoft.com/office/drawing/2014/chart" uri="{C3380CC4-5D6E-409C-BE32-E72D297353CC}">
              <c16:uniqueId val="{00000002-AC2C-5D47-87C8-3D20284C0982}"/>
            </c:ext>
          </c:extLst>
        </c:ser>
        <c:dLbls>
          <c:dLblPos val="outEnd"/>
          <c:showLegendKey val="0"/>
          <c:showVal val="1"/>
          <c:showCatName val="0"/>
          <c:showSerName val="0"/>
          <c:showPercent val="0"/>
          <c:showBubbleSize val="0"/>
        </c:dLbls>
        <c:gapWidth val="100"/>
        <c:overlap val="-24"/>
        <c:axId val="528127808"/>
        <c:axId val="528128200"/>
      </c:barChart>
      <c:catAx>
        <c:axId val="52812780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28200"/>
        <c:crosses val="autoZero"/>
        <c:auto val="1"/>
        <c:lblAlgn val="ctr"/>
        <c:lblOffset val="100"/>
        <c:noMultiLvlLbl val="0"/>
      </c:catAx>
      <c:valAx>
        <c:axId val="52812820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278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2020-06-29</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'June 29, 2020'!$B$2:$B$3</c:f>
              <c:strCache>
                <c:ptCount val="2"/>
                <c:pt idx="0">
                  <c:v>Total Hospital</c:v>
                </c:pt>
                <c:pt idx="1">
                  <c:v>712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29,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29, 2020'!$B$4:$B$16</c:f>
              <c:numCache>
                <c:formatCode>General</c:formatCode>
                <c:ptCount val="13"/>
                <c:pt idx="0">
                  <c:v>17</c:v>
                </c:pt>
                <c:pt idx="1">
                  <c:v>43</c:v>
                </c:pt>
                <c:pt idx="2" formatCode="0">
                  <c:v>232</c:v>
                </c:pt>
                <c:pt idx="3">
                  <c:v>410</c:v>
                </c:pt>
                <c:pt idx="4">
                  <c:v>2</c:v>
                </c:pt>
                <c:pt idx="5">
                  <c:v>2</c:v>
                </c:pt>
                <c:pt idx="6">
                  <c:v>0</c:v>
                </c:pt>
                <c:pt idx="7">
                  <c:v>0</c:v>
                </c:pt>
                <c:pt idx="8">
                  <c:v>6</c:v>
                </c:pt>
                <c:pt idx="9">
                  <c:v>0</c:v>
                </c:pt>
                <c:pt idx="10">
                  <c:v>0</c:v>
                </c:pt>
                <c:pt idx="11">
                  <c:v>0</c:v>
                </c:pt>
                <c:pt idx="12">
                  <c:v>0</c:v>
                </c:pt>
              </c:numCache>
            </c:numRef>
          </c:val>
          <c:extLst>
            <c:ext xmlns:c16="http://schemas.microsoft.com/office/drawing/2014/chart" uri="{C3380CC4-5D6E-409C-BE32-E72D297353CC}">
              <c16:uniqueId val="{00000000-8340-F84E-AFAA-96F19A43E3C5}"/>
            </c:ext>
          </c:extLst>
        </c:ser>
        <c:ser>
          <c:idx val="1"/>
          <c:order val="1"/>
          <c:tx>
            <c:strRef>
              <c:f>'June 29, 2020'!$C$2:$C$3</c:f>
              <c:strCache>
                <c:ptCount val="2"/>
                <c:pt idx="0">
                  <c:v>Total ICU</c:v>
                </c:pt>
                <c:pt idx="1">
                  <c:v>105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340-F84E-AFAA-96F19A43E3C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29,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29, 2020'!$C$4:$C$16</c:f>
              <c:numCache>
                <c:formatCode>General</c:formatCode>
                <c:ptCount val="13"/>
                <c:pt idx="0">
                  <c:v>5</c:v>
                </c:pt>
                <c:pt idx="1">
                  <c:v>8</c:v>
                </c:pt>
                <c:pt idx="2">
                  <c:v>46</c:v>
                </c:pt>
                <c:pt idx="3">
                  <c:v>45</c:v>
                </c:pt>
                <c:pt idx="4">
                  <c:v>0</c:v>
                </c:pt>
                <c:pt idx="5">
                  <c:v>1</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8340-F84E-AFAA-96F19A43E3C5}"/>
            </c:ext>
          </c:extLst>
        </c:ser>
        <c:dLbls>
          <c:dLblPos val="outEnd"/>
          <c:showLegendKey val="0"/>
          <c:showVal val="1"/>
          <c:showCatName val="0"/>
          <c:showSerName val="0"/>
          <c:showPercent val="0"/>
          <c:showBubbleSize val="0"/>
        </c:dLbls>
        <c:gapWidth val="100"/>
        <c:overlap val="-24"/>
        <c:axId val="528138784"/>
        <c:axId val="528145056"/>
      </c:barChart>
      <c:catAx>
        <c:axId val="52813878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45056"/>
        <c:crosses val="autoZero"/>
        <c:auto val="1"/>
        <c:lblAlgn val="ctr"/>
        <c:lblOffset val="100"/>
        <c:noMultiLvlLbl val="0"/>
      </c:catAx>
      <c:valAx>
        <c:axId val="52814505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38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2020-06-26</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'June 26, 2020'!$B$2:$B$3</c:f>
              <c:strCache>
                <c:ptCount val="2"/>
                <c:pt idx="0">
                  <c:v>Total Hospital</c:v>
                </c:pt>
                <c:pt idx="1">
                  <c:v>759</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26,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26, 2020'!$B$4:$B$16</c:f>
              <c:numCache>
                <c:formatCode>General</c:formatCode>
                <c:ptCount val="13"/>
                <c:pt idx="0">
                  <c:v>15</c:v>
                </c:pt>
                <c:pt idx="1">
                  <c:v>38</c:v>
                </c:pt>
                <c:pt idx="2" formatCode="0">
                  <c:v>256</c:v>
                </c:pt>
                <c:pt idx="3">
                  <c:v>437</c:v>
                </c:pt>
                <c:pt idx="4">
                  <c:v>2</c:v>
                </c:pt>
                <c:pt idx="5">
                  <c:v>2</c:v>
                </c:pt>
                <c:pt idx="6">
                  <c:v>0</c:v>
                </c:pt>
                <c:pt idx="7">
                  <c:v>0</c:v>
                </c:pt>
                <c:pt idx="8">
                  <c:v>9</c:v>
                </c:pt>
                <c:pt idx="9">
                  <c:v>0</c:v>
                </c:pt>
                <c:pt idx="10">
                  <c:v>0</c:v>
                </c:pt>
                <c:pt idx="11">
                  <c:v>0</c:v>
                </c:pt>
                <c:pt idx="12">
                  <c:v>0</c:v>
                </c:pt>
              </c:numCache>
            </c:numRef>
          </c:val>
          <c:extLst>
            <c:ext xmlns:c16="http://schemas.microsoft.com/office/drawing/2014/chart" uri="{C3380CC4-5D6E-409C-BE32-E72D297353CC}">
              <c16:uniqueId val="{00000000-4A27-D54E-9B5B-F03C0365F126}"/>
            </c:ext>
          </c:extLst>
        </c:ser>
        <c:ser>
          <c:idx val="1"/>
          <c:order val="1"/>
          <c:tx>
            <c:strRef>
              <c:f>'June 26, 2020'!$C$2:$C$3</c:f>
              <c:strCache>
                <c:ptCount val="2"/>
                <c:pt idx="0">
                  <c:v>Total ICU</c:v>
                </c:pt>
                <c:pt idx="1">
                  <c:v>129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A27-D54E-9B5B-F03C0365F12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26,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26, 2020'!$C$4:$C$16</c:f>
              <c:numCache>
                <c:formatCode>General</c:formatCode>
                <c:ptCount val="13"/>
                <c:pt idx="0">
                  <c:v>7</c:v>
                </c:pt>
                <c:pt idx="1">
                  <c:v>8</c:v>
                </c:pt>
                <c:pt idx="2">
                  <c:v>61</c:v>
                </c:pt>
                <c:pt idx="3">
                  <c:v>50</c:v>
                </c:pt>
                <c:pt idx="4">
                  <c:v>0</c:v>
                </c:pt>
                <c:pt idx="5">
                  <c:v>1</c:v>
                </c:pt>
                <c:pt idx="6">
                  <c:v>0</c:v>
                </c:pt>
                <c:pt idx="7">
                  <c:v>0</c:v>
                </c:pt>
                <c:pt idx="8">
                  <c:v>2</c:v>
                </c:pt>
                <c:pt idx="9">
                  <c:v>0</c:v>
                </c:pt>
                <c:pt idx="10">
                  <c:v>0</c:v>
                </c:pt>
                <c:pt idx="11">
                  <c:v>0</c:v>
                </c:pt>
                <c:pt idx="12">
                  <c:v>0</c:v>
                </c:pt>
              </c:numCache>
            </c:numRef>
          </c:val>
          <c:extLst>
            <c:ext xmlns:c16="http://schemas.microsoft.com/office/drawing/2014/chart" uri="{C3380CC4-5D6E-409C-BE32-E72D297353CC}">
              <c16:uniqueId val="{00000002-4A27-D54E-9B5B-F03C0365F126}"/>
            </c:ext>
          </c:extLst>
        </c:ser>
        <c:dLbls>
          <c:dLblPos val="outEnd"/>
          <c:showLegendKey val="0"/>
          <c:showVal val="1"/>
          <c:showCatName val="0"/>
          <c:showSerName val="0"/>
          <c:showPercent val="0"/>
          <c:showBubbleSize val="0"/>
        </c:dLbls>
        <c:gapWidth val="100"/>
        <c:overlap val="-24"/>
        <c:axId val="528135256"/>
        <c:axId val="528143880"/>
      </c:barChart>
      <c:catAx>
        <c:axId val="52813525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43880"/>
        <c:crosses val="autoZero"/>
        <c:auto val="1"/>
        <c:lblAlgn val="ctr"/>
        <c:lblOffset val="100"/>
        <c:noMultiLvlLbl val="0"/>
      </c:catAx>
      <c:valAx>
        <c:axId val="5281438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352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2020-06-24</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'June 24, 2020'!$B$2:$B$3</c:f>
              <c:strCache>
                <c:ptCount val="2"/>
                <c:pt idx="0">
                  <c:v>Total Hospital</c:v>
                </c:pt>
                <c:pt idx="1">
                  <c:v>588</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24,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24, 2020'!$B$4:$B$16</c:f>
              <c:numCache>
                <c:formatCode>General</c:formatCode>
                <c:ptCount val="13"/>
                <c:pt idx="0">
                  <c:v>11</c:v>
                </c:pt>
                <c:pt idx="1">
                  <c:v>37</c:v>
                </c:pt>
                <c:pt idx="2" formatCode="0">
                  <c:v>73</c:v>
                </c:pt>
                <c:pt idx="3">
                  <c:v>459</c:v>
                </c:pt>
                <c:pt idx="4">
                  <c:v>2</c:v>
                </c:pt>
                <c:pt idx="5">
                  <c:v>2</c:v>
                </c:pt>
                <c:pt idx="6">
                  <c:v>0</c:v>
                </c:pt>
                <c:pt idx="7">
                  <c:v>0</c:v>
                </c:pt>
                <c:pt idx="8">
                  <c:v>4</c:v>
                </c:pt>
                <c:pt idx="9">
                  <c:v>0</c:v>
                </c:pt>
                <c:pt idx="10">
                  <c:v>0</c:v>
                </c:pt>
                <c:pt idx="11">
                  <c:v>0</c:v>
                </c:pt>
                <c:pt idx="12">
                  <c:v>0</c:v>
                </c:pt>
              </c:numCache>
            </c:numRef>
          </c:val>
          <c:extLst>
            <c:ext xmlns:c16="http://schemas.microsoft.com/office/drawing/2014/chart" uri="{C3380CC4-5D6E-409C-BE32-E72D297353CC}">
              <c16:uniqueId val="{00000000-B101-4A48-9B20-A6788BE8DB17}"/>
            </c:ext>
          </c:extLst>
        </c:ser>
        <c:ser>
          <c:idx val="1"/>
          <c:order val="1"/>
          <c:tx>
            <c:strRef>
              <c:f>'June 24, 2020'!$C$2:$C$3</c:f>
              <c:strCache>
                <c:ptCount val="2"/>
                <c:pt idx="0">
                  <c:v>Total ICU</c:v>
                </c:pt>
                <c:pt idx="1">
                  <c:v>119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101-4A48-9B20-A6788BE8DB1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24,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24, 2020'!$C$4:$C$16</c:f>
              <c:numCache>
                <c:formatCode>General</c:formatCode>
                <c:ptCount val="13"/>
                <c:pt idx="0">
                  <c:v>6</c:v>
                </c:pt>
                <c:pt idx="1">
                  <c:v>6</c:v>
                </c:pt>
                <c:pt idx="2">
                  <c:v>48</c:v>
                </c:pt>
                <c:pt idx="3">
                  <c:v>56</c:v>
                </c:pt>
                <c:pt idx="4">
                  <c:v>1</c:v>
                </c:pt>
                <c:pt idx="5">
                  <c:v>1</c:v>
                </c:pt>
                <c:pt idx="6">
                  <c:v>0</c:v>
                </c:pt>
                <c:pt idx="7">
                  <c:v>0</c:v>
                </c:pt>
                <c:pt idx="8">
                  <c:v>1</c:v>
                </c:pt>
                <c:pt idx="9">
                  <c:v>0</c:v>
                </c:pt>
                <c:pt idx="10">
                  <c:v>0</c:v>
                </c:pt>
                <c:pt idx="11">
                  <c:v>0</c:v>
                </c:pt>
                <c:pt idx="12">
                  <c:v>0</c:v>
                </c:pt>
              </c:numCache>
            </c:numRef>
          </c:val>
          <c:extLst>
            <c:ext xmlns:c16="http://schemas.microsoft.com/office/drawing/2014/chart" uri="{C3380CC4-5D6E-409C-BE32-E72D297353CC}">
              <c16:uniqueId val="{00000002-B101-4A48-9B20-A6788BE8DB17}"/>
            </c:ext>
          </c:extLst>
        </c:ser>
        <c:dLbls>
          <c:dLblPos val="outEnd"/>
          <c:showLegendKey val="0"/>
          <c:showVal val="1"/>
          <c:showCatName val="0"/>
          <c:showSerName val="0"/>
          <c:showPercent val="0"/>
          <c:showBubbleSize val="0"/>
        </c:dLbls>
        <c:gapWidth val="100"/>
        <c:overlap val="-24"/>
        <c:axId val="528146624"/>
        <c:axId val="528147016"/>
      </c:barChart>
      <c:catAx>
        <c:axId val="52814662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47016"/>
        <c:crosses val="autoZero"/>
        <c:auto val="1"/>
        <c:lblAlgn val="ctr"/>
        <c:lblOffset val="100"/>
        <c:noMultiLvlLbl val="0"/>
      </c:catAx>
      <c:valAx>
        <c:axId val="52814701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46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2020-06-22</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'June 22, 2020'!$B$2:$B$3</c:f>
              <c:strCache>
                <c:ptCount val="2"/>
                <c:pt idx="0">
                  <c:v>Total Hospital</c:v>
                </c:pt>
                <c:pt idx="1">
                  <c:v>778</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22,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22, 2020'!$B$4:$B$16</c:f>
              <c:numCache>
                <c:formatCode>General</c:formatCode>
                <c:ptCount val="13"/>
                <c:pt idx="0">
                  <c:v>11</c:v>
                </c:pt>
                <c:pt idx="1">
                  <c:v>33</c:v>
                </c:pt>
                <c:pt idx="2" formatCode="0">
                  <c:v>265</c:v>
                </c:pt>
                <c:pt idx="3">
                  <c:v>463</c:v>
                </c:pt>
                <c:pt idx="4">
                  <c:v>1</c:v>
                </c:pt>
                <c:pt idx="5">
                  <c:v>2</c:v>
                </c:pt>
                <c:pt idx="6">
                  <c:v>0</c:v>
                </c:pt>
                <c:pt idx="7">
                  <c:v>0</c:v>
                </c:pt>
                <c:pt idx="8">
                  <c:v>3</c:v>
                </c:pt>
                <c:pt idx="9">
                  <c:v>0</c:v>
                </c:pt>
                <c:pt idx="10">
                  <c:v>0</c:v>
                </c:pt>
                <c:pt idx="11">
                  <c:v>0</c:v>
                </c:pt>
                <c:pt idx="12">
                  <c:v>0</c:v>
                </c:pt>
              </c:numCache>
            </c:numRef>
          </c:val>
          <c:extLst>
            <c:ext xmlns:c16="http://schemas.microsoft.com/office/drawing/2014/chart" uri="{C3380CC4-5D6E-409C-BE32-E72D297353CC}">
              <c16:uniqueId val="{00000000-46FA-5E49-8E39-62FF934DFCDA}"/>
            </c:ext>
          </c:extLst>
        </c:ser>
        <c:ser>
          <c:idx val="1"/>
          <c:order val="1"/>
          <c:tx>
            <c:strRef>
              <c:f>'June 22, 2020'!$C$2:$C$3</c:f>
              <c:strCache>
                <c:ptCount val="2"/>
                <c:pt idx="0">
                  <c:v>Total ICU</c:v>
                </c:pt>
                <c:pt idx="1">
                  <c:v>150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FA-5E49-8E39-62FF934DFCD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22,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22, 2020'!$C$4:$C$16</c:f>
              <c:numCache>
                <c:formatCode>General</c:formatCode>
                <c:ptCount val="13"/>
                <c:pt idx="0">
                  <c:v>6</c:v>
                </c:pt>
                <c:pt idx="1">
                  <c:v>7</c:v>
                </c:pt>
                <c:pt idx="2">
                  <c:v>76</c:v>
                </c:pt>
                <c:pt idx="3">
                  <c:v>57</c:v>
                </c:pt>
                <c:pt idx="4">
                  <c:v>0</c:v>
                </c:pt>
                <c:pt idx="5">
                  <c:v>1</c:v>
                </c:pt>
                <c:pt idx="6">
                  <c:v>0</c:v>
                </c:pt>
                <c:pt idx="7">
                  <c:v>0</c:v>
                </c:pt>
                <c:pt idx="8">
                  <c:v>3</c:v>
                </c:pt>
                <c:pt idx="9">
                  <c:v>0</c:v>
                </c:pt>
                <c:pt idx="10">
                  <c:v>0</c:v>
                </c:pt>
                <c:pt idx="11">
                  <c:v>0</c:v>
                </c:pt>
                <c:pt idx="12">
                  <c:v>0</c:v>
                </c:pt>
              </c:numCache>
            </c:numRef>
          </c:val>
          <c:extLst>
            <c:ext xmlns:c16="http://schemas.microsoft.com/office/drawing/2014/chart" uri="{C3380CC4-5D6E-409C-BE32-E72D297353CC}">
              <c16:uniqueId val="{00000002-46FA-5E49-8E39-62FF934DFCDA}"/>
            </c:ext>
          </c:extLst>
        </c:ser>
        <c:dLbls>
          <c:dLblPos val="outEnd"/>
          <c:showLegendKey val="0"/>
          <c:showVal val="1"/>
          <c:showCatName val="0"/>
          <c:showSerName val="0"/>
          <c:showPercent val="0"/>
          <c:showBubbleSize val="0"/>
        </c:dLbls>
        <c:gapWidth val="100"/>
        <c:overlap val="-24"/>
        <c:axId val="528142312"/>
        <c:axId val="528136432"/>
      </c:barChart>
      <c:catAx>
        <c:axId val="52814231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36432"/>
        <c:crosses val="autoZero"/>
        <c:auto val="1"/>
        <c:lblAlgn val="ctr"/>
        <c:lblOffset val="100"/>
        <c:noMultiLvlLbl val="0"/>
      </c:catAx>
      <c:valAx>
        <c:axId val="52813643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42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2020-06-19</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'June 19, 2020'!$B$2:$B$3</c:f>
              <c:strCache>
                <c:ptCount val="2"/>
                <c:pt idx="0">
                  <c:v>Total Hospital</c:v>
                </c:pt>
                <c:pt idx="1">
                  <c:v>953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19,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19, 2020'!$B$4:$B$16</c:f>
              <c:numCache>
                <c:formatCode>General</c:formatCode>
                <c:ptCount val="13"/>
                <c:pt idx="0">
                  <c:v>10</c:v>
                </c:pt>
                <c:pt idx="1">
                  <c:v>34</c:v>
                </c:pt>
                <c:pt idx="2" formatCode="0">
                  <c:v>331</c:v>
                </c:pt>
                <c:pt idx="3">
                  <c:v>572</c:v>
                </c:pt>
                <c:pt idx="4">
                  <c:v>2</c:v>
                </c:pt>
                <c:pt idx="5">
                  <c:v>2</c:v>
                </c:pt>
                <c:pt idx="6">
                  <c:v>0</c:v>
                </c:pt>
                <c:pt idx="7">
                  <c:v>0</c:v>
                </c:pt>
                <c:pt idx="8">
                  <c:v>2</c:v>
                </c:pt>
                <c:pt idx="9">
                  <c:v>0</c:v>
                </c:pt>
                <c:pt idx="10">
                  <c:v>0</c:v>
                </c:pt>
                <c:pt idx="11">
                  <c:v>0</c:v>
                </c:pt>
                <c:pt idx="12">
                  <c:v>0</c:v>
                </c:pt>
              </c:numCache>
            </c:numRef>
          </c:val>
          <c:extLst>
            <c:ext xmlns:c16="http://schemas.microsoft.com/office/drawing/2014/chart" uri="{C3380CC4-5D6E-409C-BE32-E72D297353CC}">
              <c16:uniqueId val="{00000000-0BB9-304B-B1D8-507B608DD35D}"/>
            </c:ext>
          </c:extLst>
        </c:ser>
        <c:ser>
          <c:idx val="1"/>
          <c:order val="1"/>
          <c:tx>
            <c:strRef>
              <c:f>'June 19, 2020'!$C$2:$C$3</c:f>
              <c:strCache>
                <c:ptCount val="2"/>
                <c:pt idx="0">
                  <c:v>Total ICU</c:v>
                </c:pt>
                <c:pt idx="1">
                  <c:v>161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BB9-304B-B1D8-507B608DD35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19,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19, 2020'!$C$4:$C$16</c:f>
              <c:numCache>
                <c:formatCode>General</c:formatCode>
                <c:ptCount val="13"/>
                <c:pt idx="0">
                  <c:v>5</c:v>
                </c:pt>
                <c:pt idx="1">
                  <c:v>6</c:v>
                </c:pt>
                <c:pt idx="2">
                  <c:v>82</c:v>
                </c:pt>
                <c:pt idx="3">
                  <c:v>65</c:v>
                </c:pt>
                <c:pt idx="4">
                  <c:v>1</c:v>
                </c:pt>
                <c:pt idx="5">
                  <c:v>1</c:v>
                </c:pt>
                <c:pt idx="6">
                  <c:v>0</c:v>
                </c:pt>
                <c:pt idx="7">
                  <c:v>0</c:v>
                </c:pt>
                <c:pt idx="8">
                  <c:v>1</c:v>
                </c:pt>
                <c:pt idx="9">
                  <c:v>0</c:v>
                </c:pt>
                <c:pt idx="10">
                  <c:v>0</c:v>
                </c:pt>
                <c:pt idx="11">
                  <c:v>0</c:v>
                </c:pt>
                <c:pt idx="12">
                  <c:v>0</c:v>
                </c:pt>
              </c:numCache>
            </c:numRef>
          </c:val>
          <c:extLst>
            <c:ext xmlns:c16="http://schemas.microsoft.com/office/drawing/2014/chart" uri="{C3380CC4-5D6E-409C-BE32-E72D297353CC}">
              <c16:uniqueId val="{00000002-0BB9-304B-B1D8-507B608DD35D}"/>
            </c:ext>
          </c:extLst>
        </c:ser>
        <c:dLbls>
          <c:dLblPos val="outEnd"/>
          <c:showLegendKey val="0"/>
          <c:showVal val="1"/>
          <c:showCatName val="0"/>
          <c:showSerName val="0"/>
          <c:showPercent val="0"/>
          <c:showBubbleSize val="0"/>
        </c:dLbls>
        <c:gapWidth val="100"/>
        <c:overlap val="-24"/>
        <c:axId val="528137608"/>
        <c:axId val="528147408"/>
      </c:barChart>
      <c:catAx>
        <c:axId val="52813760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47408"/>
        <c:crosses val="autoZero"/>
        <c:auto val="1"/>
        <c:lblAlgn val="ctr"/>
        <c:lblOffset val="100"/>
        <c:noMultiLvlLbl val="0"/>
      </c:catAx>
      <c:valAx>
        <c:axId val="52814740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376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2020-06-17</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'June 17, 2020'!$B$2:$B$3</c:f>
              <c:strCache>
                <c:ptCount val="2"/>
                <c:pt idx="0">
                  <c:v>Total Hospital</c:v>
                </c:pt>
                <c:pt idx="1">
                  <c:v>1057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17,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17, 2020'!$B$4:$B$16</c:f>
              <c:numCache>
                <c:formatCode>General</c:formatCode>
                <c:ptCount val="13"/>
                <c:pt idx="0">
                  <c:v>11</c:v>
                </c:pt>
                <c:pt idx="1">
                  <c:v>36</c:v>
                </c:pt>
                <c:pt idx="2" formatCode="0">
                  <c:v>383</c:v>
                </c:pt>
                <c:pt idx="3">
                  <c:v>618</c:v>
                </c:pt>
                <c:pt idx="4">
                  <c:v>2</c:v>
                </c:pt>
                <c:pt idx="5">
                  <c:v>4</c:v>
                </c:pt>
                <c:pt idx="6">
                  <c:v>0</c:v>
                </c:pt>
                <c:pt idx="7">
                  <c:v>0</c:v>
                </c:pt>
                <c:pt idx="8">
                  <c:v>3</c:v>
                </c:pt>
                <c:pt idx="9">
                  <c:v>0</c:v>
                </c:pt>
                <c:pt idx="10">
                  <c:v>0</c:v>
                </c:pt>
                <c:pt idx="11">
                  <c:v>0</c:v>
                </c:pt>
                <c:pt idx="12">
                  <c:v>0</c:v>
                </c:pt>
              </c:numCache>
            </c:numRef>
          </c:val>
          <c:extLst>
            <c:ext xmlns:c16="http://schemas.microsoft.com/office/drawing/2014/chart" uri="{C3380CC4-5D6E-409C-BE32-E72D297353CC}">
              <c16:uniqueId val="{00000000-F3D2-3F42-8559-1B161FDCB882}"/>
            </c:ext>
          </c:extLst>
        </c:ser>
        <c:ser>
          <c:idx val="1"/>
          <c:order val="1"/>
          <c:tx>
            <c:strRef>
              <c:f>'June 17, 2020'!$C$2:$C$3</c:f>
              <c:strCache>
                <c:ptCount val="2"/>
                <c:pt idx="0">
                  <c:v>Total ICU</c:v>
                </c:pt>
                <c:pt idx="1">
                  <c:v>179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D2-3F42-8559-1B161FDCB88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17,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17, 2020'!$C$4:$C$16</c:f>
              <c:numCache>
                <c:formatCode>General</c:formatCode>
                <c:ptCount val="13"/>
                <c:pt idx="0">
                  <c:v>5</c:v>
                </c:pt>
                <c:pt idx="1">
                  <c:v>7</c:v>
                </c:pt>
                <c:pt idx="2">
                  <c:v>92</c:v>
                </c:pt>
                <c:pt idx="3">
                  <c:v>72</c:v>
                </c:pt>
                <c:pt idx="4">
                  <c:v>1</c:v>
                </c:pt>
                <c:pt idx="5">
                  <c:v>1</c:v>
                </c:pt>
                <c:pt idx="6">
                  <c:v>0</c:v>
                </c:pt>
                <c:pt idx="7">
                  <c:v>0</c:v>
                </c:pt>
                <c:pt idx="8">
                  <c:v>1</c:v>
                </c:pt>
                <c:pt idx="9">
                  <c:v>0</c:v>
                </c:pt>
                <c:pt idx="10">
                  <c:v>0</c:v>
                </c:pt>
                <c:pt idx="11">
                  <c:v>0</c:v>
                </c:pt>
                <c:pt idx="12">
                  <c:v>0</c:v>
                </c:pt>
              </c:numCache>
            </c:numRef>
          </c:val>
          <c:extLst>
            <c:ext xmlns:c16="http://schemas.microsoft.com/office/drawing/2014/chart" uri="{C3380CC4-5D6E-409C-BE32-E72D297353CC}">
              <c16:uniqueId val="{00000002-F3D2-3F42-8559-1B161FDCB882}"/>
            </c:ext>
          </c:extLst>
        </c:ser>
        <c:dLbls>
          <c:dLblPos val="outEnd"/>
          <c:showLegendKey val="0"/>
          <c:showVal val="1"/>
          <c:showCatName val="0"/>
          <c:showSerName val="0"/>
          <c:showPercent val="0"/>
          <c:showBubbleSize val="0"/>
        </c:dLbls>
        <c:gapWidth val="100"/>
        <c:overlap val="-24"/>
        <c:axId val="528140744"/>
        <c:axId val="528135648"/>
      </c:barChart>
      <c:catAx>
        <c:axId val="52814074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35648"/>
        <c:crosses val="autoZero"/>
        <c:auto val="1"/>
        <c:lblAlgn val="ctr"/>
        <c:lblOffset val="100"/>
        <c:noMultiLvlLbl val="0"/>
      </c:catAx>
      <c:valAx>
        <c:axId val="52813564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40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2020-06-15</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'June 15, 2020'!$B$2:$B$3</c:f>
              <c:strCache>
                <c:ptCount val="2"/>
                <c:pt idx="0">
                  <c:v>Total Hospital</c:v>
                </c:pt>
                <c:pt idx="1">
                  <c:v>1175</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15,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15, 2020'!$B$4:$B$16</c:f>
              <c:numCache>
                <c:formatCode>General</c:formatCode>
                <c:ptCount val="13"/>
                <c:pt idx="0">
                  <c:v>12</c:v>
                </c:pt>
                <c:pt idx="1">
                  <c:v>46</c:v>
                </c:pt>
                <c:pt idx="2" formatCode="0">
                  <c:v>419</c:v>
                </c:pt>
                <c:pt idx="3">
                  <c:v>689</c:v>
                </c:pt>
                <c:pt idx="4">
                  <c:v>2</c:v>
                </c:pt>
                <c:pt idx="5">
                  <c:v>4</c:v>
                </c:pt>
                <c:pt idx="6">
                  <c:v>0</c:v>
                </c:pt>
                <c:pt idx="7">
                  <c:v>0</c:v>
                </c:pt>
                <c:pt idx="8">
                  <c:v>2</c:v>
                </c:pt>
                <c:pt idx="9">
                  <c:v>1</c:v>
                </c:pt>
                <c:pt idx="10">
                  <c:v>0</c:v>
                </c:pt>
                <c:pt idx="11">
                  <c:v>0</c:v>
                </c:pt>
                <c:pt idx="12">
                  <c:v>0</c:v>
                </c:pt>
              </c:numCache>
            </c:numRef>
          </c:val>
          <c:extLst>
            <c:ext xmlns:c16="http://schemas.microsoft.com/office/drawing/2014/chart" uri="{C3380CC4-5D6E-409C-BE32-E72D297353CC}">
              <c16:uniqueId val="{00000000-A9CB-834A-9388-0C31B28C6B81}"/>
            </c:ext>
          </c:extLst>
        </c:ser>
        <c:ser>
          <c:idx val="1"/>
          <c:order val="1"/>
          <c:tx>
            <c:strRef>
              <c:f>'June 15, 2020'!$C$2:$C$3</c:f>
              <c:strCache>
                <c:ptCount val="2"/>
                <c:pt idx="0">
                  <c:v>Total ICU</c:v>
                </c:pt>
                <c:pt idx="1">
                  <c:v>199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CB-834A-9388-0C31B28C6B8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15,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15, 2020'!$C$4:$C$16</c:f>
              <c:numCache>
                <c:formatCode>General</c:formatCode>
                <c:ptCount val="13"/>
                <c:pt idx="0">
                  <c:v>3</c:v>
                </c:pt>
                <c:pt idx="1">
                  <c:v>7</c:v>
                </c:pt>
                <c:pt idx="2">
                  <c:v>104</c:v>
                </c:pt>
                <c:pt idx="3">
                  <c:v>82</c:v>
                </c:pt>
                <c:pt idx="4">
                  <c:v>1</c:v>
                </c:pt>
                <c:pt idx="5">
                  <c:v>1</c:v>
                </c:pt>
                <c:pt idx="6">
                  <c:v>0</c:v>
                </c:pt>
                <c:pt idx="7">
                  <c:v>0</c:v>
                </c:pt>
                <c:pt idx="8">
                  <c:v>1</c:v>
                </c:pt>
                <c:pt idx="9">
                  <c:v>0</c:v>
                </c:pt>
                <c:pt idx="10">
                  <c:v>0</c:v>
                </c:pt>
                <c:pt idx="11">
                  <c:v>0</c:v>
                </c:pt>
                <c:pt idx="12">
                  <c:v>0</c:v>
                </c:pt>
              </c:numCache>
            </c:numRef>
          </c:val>
          <c:extLst>
            <c:ext xmlns:c16="http://schemas.microsoft.com/office/drawing/2014/chart" uri="{C3380CC4-5D6E-409C-BE32-E72D297353CC}">
              <c16:uniqueId val="{00000002-A9CB-834A-9388-0C31B28C6B81}"/>
            </c:ext>
          </c:extLst>
        </c:ser>
        <c:dLbls>
          <c:dLblPos val="outEnd"/>
          <c:showLegendKey val="0"/>
          <c:showVal val="1"/>
          <c:showCatName val="0"/>
          <c:showSerName val="0"/>
          <c:showPercent val="0"/>
          <c:showBubbleSize val="0"/>
        </c:dLbls>
        <c:gapWidth val="100"/>
        <c:overlap val="-24"/>
        <c:axId val="528136040"/>
        <c:axId val="528136824"/>
      </c:barChart>
      <c:catAx>
        <c:axId val="52813604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36824"/>
        <c:crosses val="autoZero"/>
        <c:auto val="1"/>
        <c:lblAlgn val="ctr"/>
        <c:lblOffset val="100"/>
        <c:noMultiLvlLbl val="0"/>
      </c:catAx>
      <c:valAx>
        <c:axId val="52813682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36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2020-06-12</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'June 12, 2020'!$B$2:$B$3</c:f>
              <c:strCache>
                <c:ptCount val="2"/>
                <c:pt idx="0">
                  <c:v>Total Hospital</c:v>
                </c:pt>
                <c:pt idx="1">
                  <c:v>1351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12,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12, 2020'!$B$4:$B$16</c:f>
              <c:numCache>
                <c:formatCode>General</c:formatCode>
                <c:ptCount val="13"/>
                <c:pt idx="0">
                  <c:v>13</c:v>
                </c:pt>
                <c:pt idx="1">
                  <c:v>45</c:v>
                </c:pt>
                <c:pt idx="2" formatCode="0">
                  <c:v>527</c:v>
                </c:pt>
                <c:pt idx="3">
                  <c:v>757</c:v>
                </c:pt>
                <c:pt idx="4">
                  <c:v>2</c:v>
                </c:pt>
                <c:pt idx="5">
                  <c:v>5</c:v>
                </c:pt>
                <c:pt idx="6">
                  <c:v>0</c:v>
                </c:pt>
                <c:pt idx="7">
                  <c:v>0</c:v>
                </c:pt>
                <c:pt idx="8">
                  <c:v>1</c:v>
                </c:pt>
                <c:pt idx="9">
                  <c:v>1</c:v>
                </c:pt>
                <c:pt idx="10">
                  <c:v>0</c:v>
                </c:pt>
                <c:pt idx="11">
                  <c:v>0</c:v>
                </c:pt>
                <c:pt idx="12">
                  <c:v>0</c:v>
                </c:pt>
              </c:numCache>
            </c:numRef>
          </c:val>
          <c:extLst>
            <c:ext xmlns:c16="http://schemas.microsoft.com/office/drawing/2014/chart" uri="{C3380CC4-5D6E-409C-BE32-E72D297353CC}">
              <c16:uniqueId val="{00000000-6EE9-0742-8D7E-7B4249BF39C7}"/>
            </c:ext>
          </c:extLst>
        </c:ser>
        <c:ser>
          <c:idx val="1"/>
          <c:order val="1"/>
          <c:tx>
            <c:strRef>
              <c:f>'June 12, 2020'!$C$2:$C$3</c:f>
              <c:strCache>
                <c:ptCount val="2"/>
                <c:pt idx="0">
                  <c:v>Total ICU</c:v>
                </c:pt>
                <c:pt idx="1">
                  <c:v>242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EE9-0742-8D7E-7B4249BF39C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12,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12, 2020'!$C$4:$C$16</c:f>
              <c:numCache>
                <c:formatCode>General</c:formatCode>
                <c:ptCount val="13"/>
                <c:pt idx="0">
                  <c:v>5</c:v>
                </c:pt>
                <c:pt idx="1">
                  <c:v>6</c:v>
                </c:pt>
                <c:pt idx="2">
                  <c:v>114</c:v>
                </c:pt>
                <c:pt idx="3">
                  <c:v>114</c:v>
                </c:pt>
                <c:pt idx="4">
                  <c:v>1</c:v>
                </c:pt>
                <c:pt idx="5">
                  <c:v>1</c:v>
                </c:pt>
                <c:pt idx="6">
                  <c:v>0</c:v>
                </c:pt>
                <c:pt idx="7">
                  <c:v>0</c:v>
                </c:pt>
                <c:pt idx="8">
                  <c:v>1</c:v>
                </c:pt>
                <c:pt idx="9">
                  <c:v>0</c:v>
                </c:pt>
                <c:pt idx="10">
                  <c:v>0</c:v>
                </c:pt>
                <c:pt idx="11">
                  <c:v>0</c:v>
                </c:pt>
                <c:pt idx="12">
                  <c:v>0</c:v>
                </c:pt>
              </c:numCache>
            </c:numRef>
          </c:val>
          <c:extLst>
            <c:ext xmlns:c16="http://schemas.microsoft.com/office/drawing/2014/chart" uri="{C3380CC4-5D6E-409C-BE32-E72D297353CC}">
              <c16:uniqueId val="{00000002-6EE9-0742-8D7E-7B4249BF39C7}"/>
            </c:ext>
          </c:extLst>
        </c:ser>
        <c:dLbls>
          <c:dLblPos val="outEnd"/>
          <c:showLegendKey val="0"/>
          <c:showVal val="1"/>
          <c:showCatName val="0"/>
          <c:showSerName val="0"/>
          <c:showPercent val="0"/>
          <c:showBubbleSize val="0"/>
        </c:dLbls>
        <c:gapWidth val="100"/>
        <c:overlap val="-24"/>
        <c:axId val="528138000"/>
        <c:axId val="528141920"/>
      </c:barChart>
      <c:catAx>
        <c:axId val="52813800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41920"/>
        <c:crosses val="autoZero"/>
        <c:auto val="1"/>
        <c:lblAlgn val="ctr"/>
        <c:lblOffset val="100"/>
        <c:noMultiLvlLbl val="0"/>
      </c:catAx>
      <c:valAx>
        <c:axId val="52814192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38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2020-06-10</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'June 10, 2020'!$B$2:$B$3</c:f>
              <c:strCache>
                <c:ptCount val="2"/>
                <c:pt idx="0">
                  <c:v>Total Hospital</c:v>
                </c:pt>
                <c:pt idx="1">
                  <c:v>1448</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10,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10, 2020'!$B$4:$B$16</c:f>
              <c:numCache>
                <c:formatCode>General</c:formatCode>
                <c:ptCount val="13"/>
                <c:pt idx="0">
                  <c:v>16</c:v>
                </c:pt>
                <c:pt idx="1">
                  <c:v>46</c:v>
                </c:pt>
                <c:pt idx="2" formatCode="0">
                  <c:v>580</c:v>
                </c:pt>
                <c:pt idx="3">
                  <c:v>797</c:v>
                </c:pt>
                <c:pt idx="4">
                  <c:v>2</c:v>
                </c:pt>
                <c:pt idx="5">
                  <c:v>5</c:v>
                </c:pt>
                <c:pt idx="6">
                  <c:v>0</c:v>
                </c:pt>
                <c:pt idx="7">
                  <c:v>0</c:v>
                </c:pt>
                <c:pt idx="8">
                  <c:v>1</c:v>
                </c:pt>
                <c:pt idx="9">
                  <c:v>1</c:v>
                </c:pt>
                <c:pt idx="10">
                  <c:v>0</c:v>
                </c:pt>
                <c:pt idx="11">
                  <c:v>0</c:v>
                </c:pt>
                <c:pt idx="12">
                  <c:v>0</c:v>
                </c:pt>
              </c:numCache>
            </c:numRef>
          </c:val>
          <c:extLst>
            <c:ext xmlns:c16="http://schemas.microsoft.com/office/drawing/2014/chart" uri="{C3380CC4-5D6E-409C-BE32-E72D297353CC}">
              <c16:uniqueId val="{00000000-9785-3D4D-88B8-9BEC3C6C0262}"/>
            </c:ext>
          </c:extLst>
        </c:ser>
        <c:ser>
          <c:idx val="1"/>
          <c:order val="1"/>
          <c:tx>
            <c:strRef>
              <c:f>'June 10, 2020'!$C$2:$C$3</c:f>
              <c:strCache>
                <c:ptCount val="2"/>
                <c:pt idx="0">
                  <c:v>Total ICU</c:v>
                </c:pt>
                <c:pt idx="1">
                  <c:v>249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785-3D4D-88B8-9BEC3C6C026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10,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10, 2020'!$C$4:$C$16</c:f>
              <c:numCache>
                <c:formatCode>General</c:formatCode>
                <c:ptCount val="13"/>
                <c:pt idx="0">
                  <c:v>4</c:v>
                </c:pt>
                <c:pt idx="1">
                  <c:v>6</c:v>
                </c:pt>
                <c:pt idx="2">
                  <c:v>118</c:v>
                </c:pt>
                <c:pt idx="3">
                  <c:v>117</c:v>
                </c:pt>
                <c:pt idx="4">
                  <c:v>2</c:v>
                </c:pt>
                <c:pt idx="5">
                  <c:v>1</c:v>
                </c:pt>
                <c:pt idx="6">
                  <c:v>0</c:v>
                </c:pt>
                <c:pt idx="7">
                  <c:v>0</c:v>
                </c:pt>
                <c:pt idx="8">
                  <c:v>1</c:v>
                </c:pt>
                <c:pt idx="9">
                  <c:v>0</c:v>
                </c:pt>
                <c:pt idx="10">
                  <c:v>0</c:v>
                </c:pt>
                <c:pt idx="11">
                  <c:v>0</c:v>
                </c:pt>
                <c:pt idx="12">
                  <c:v>0</c:v>
                </c:pt>
              </c:numCache>
            </c:numRef>
          </c:val>
          <c:extLst>
            <c:ext xmlns:c16="http://schemas.microsoft.com/office/drawing/2014/chart" uri="{C3380CC4-5D6E-409C-BE32-E72D297353CC}">
              <c16:uniqueId val="{00000002-9785-3D4D-88B8-9BEC3C6C0262}"/>
            </c:ext>
          </c:extLst>
        </c:ser>
        <c:dLbls>
          <c:dLblPos val="outEnd"/>
          <c:showLegendKey val="0"/>
          <c:showVal val="1"/>
          <c:showCatName val="0"/>
          <c:showSerName val="0"/>
          <c:showPercent val="0"/>
          <c:showBubbleSize val="0"/>
        </c:dLbls>
        <c:gapWidth val="100"/>
        <c:overlap val="-24"/>
        <c:axId val="528139960"/>
        <c:axId val="528142704"/>
      </c:barChart>
      <c:catAx>
        <c:axId val="52813996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42704"/>
        <c:crosses val="autoZero"/>
        <c:auto val="1"/>
        <c:lblAlgn val="ctr"/>
        <c:lblOffset val="100"/>
        <c:noMultiLvlLbl val="0"/>
      </c:catAx>
      <c:valAx>
        <c:axId val="52814270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399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2022-03-25</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'March 25, 2022'!$B$2:$B$3</c:f>
              <c:strCache>
                <c:ptCount val="2"/>
                <c:pt idx="0">
                  <c:v>Total Hospital</c:v>
                </c:pt>
                <c:pt idx="1">
                  <c:v>3694</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25,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25, 2022'!$B$4:$B$16</c:f>
              <c:numCache>
                <c:formatCode>General</c:formatCode>
                <c:ptCount val="13"/>
                <c:pt idx="0">
                  <c:v>255</c:v>
                </c:pt>
                <c:pt idx="1">
                  <c:v>956</c:v>
                </c:pt>
                <c:pt idx="2" formatCode="0">
                  <c:v>667</c:v>
                </c:pt>
                <c:pt idx="3" formatCode="#,##0">
                  <c:v>1048</c:v>
                </c:pt>
                <c:pt idx="4">
                  <c:v>42</c:v>
                </c:pt>
                <c:pt idx="5">
                  <c:v>129</c:v>
                </c:pt>
                <c:pt idx="6">
                  <c:v>165</c:v>
                </c:pt>
                <c:pt idx="7">
                  <c:v>22</c:v>
                </c:pt>
                <c:pt idx="8">
                  <c:v>306</c:v>
                </c:pt>
                <c:pt idx="9">
                  <c:v>33</c:v>
                </c:pt>
                <c:pt idx="10">
                  <c:v>38</c:v>
                </c:pt>
                <c:pt idx="11">
                  <c:v>0</c:v>
                </c:pt>
                <c:pt idx="12">
                  <c:v>33</c:v>
                </c:pt>
              </c:numCache>
            </c:numRef>
          </c:val>
          <c:extLst>
            <c:ext xmlns:c16="http://schemas.microsoft.com/office/drawing/2014/chart" uri="{C3380CC4-5D6E-409C-BE32-E72D297353CC}">
              <c16:uniqueId val="{00000000-EDA9-447A-B34A-7F5482B615D8}"/>
            </c:ext>
          </c:extLst>
        </c:ser>
        <c:ser>
          <c:idx val="1"/>
          <c:order val="1"/>
          <c:tx>
            <c:strRef>
              <c:f>'March 25, 2022'!$C$2:$C$3</c:f>
              <c:strCache>
                <c:ptCount val="2"/>
                <c:pt idx="0">
                  <c:v>Total ICU</c:v>
                </c:pt>
                <c:pt idx="1">
                  <c:v>405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25,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25, 2022'!$C$4:$C$16</c:f>
              <c:numCache>
                <c:formatCode>General</c:formatCode>
                <c:ptCount val="13"/>
                <c:pt idx="0">
                  <c:v>52</c:v>
                </c:pt>
                <c:pt idx="1">
                  <c:v>56</c:v>
                </c:pt>
                <c:pt idx="2">
                  <c:v>161</c:v>
                </c:pt>
                <c:pt idx="3">
                  <c:v>59</c:v>
                </c:pt>
                <c:pt idx="4">
                  <c:v>13</c:v>
                </c:pt>
                <c:pt idx="5">
                  <c:v>16</c:v>
                </c:pt>
                <c:pt idx="6">
                  <c:v>14</c:v>
                </c:pt>
                <c:pt idx="7">
                  <c:v>0</c:v>
                </c:pt>
                <c:pt idx="8">
                  <c:v>19</c:v>
                </c:pt>
                <c:pt idx="9">
                  <c:v>6</c:v>
                </c:pt>
                <c:pt idx="10">
                  <c:v>9</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37720"/>
        <c:axId val="451751832"/>
      </c:barChart>
      <c:catAx>
        <c:axId val="45173772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51832"/>
        <c:crosses val="autoZero"/>
        <c:auto val="1"/>
        <c:lblAlgn val="ctr"/>
        <c:lblOffset val="100"/>
        <c:noMultiLvlLbl val="0"/>
      </c:catAx>
      <c:valAx>
        <c:axId val="45175183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377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2020-06-08</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'June 08, 2020'!$B$2:$B$3</c:f>
              <c:strCache>
                <c:ptCount val="2"/>
                <c:pt idx="0">
                  <c:v>Total Hospital</c:v>
                </c:pt>
                <c:pt idx="1">
                  <c:v>1567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08,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08, 2020'!$B$4:$B$16</c:f>
              <c:numCache>
                <c:formatCode>General</c:formatCode>
                <c:ptCount val="13"/>
                <c:pt idx="0">
                  <c:v>21</c:v>
                </c:pt>
                <c:pt idx="1">
                  <c:v>44</c:v>
                </c:pt>
                <c:pt idx="2" formatCode="0">
                  <c:v>635</c:v>
                </c:pt>
                <c:pt idx="3">
                  <c:v>858</c:v>
                </c:pt>
                <c:pt idx="4">
                  <c:v>3</c:v>
                </c:pt>
                <c:pt idx="5">
                  <c:v>4</c:v>
                </c:pt>
                <c:pt idx="6">
                  <c:v>0</c:v>
                </c:pt>
                <c:pt idx="7">
                  <c:v>0</c:v>
                </c:pt>
                <c:pt idx="8">
                  <c:v>1</c:v>
                </c:pt>
                <c:pt idx="9">
                  <c:v>1</c:v>
                </c:pt>
                <c:pt idx="10">
                  <c:v>0</c:v>
                </c:pt>
                <c:pt idx="11">
                  <c:v>0</c:v>
                </c:pt>
                <c:pt idx="12">
                  <c:v>0</c:v>
                </c:pt>
              </c:numCache>
            </c:numRef>
          </c:val>
          <c:extLst>
            <c:ext xmlns:c16="http://schemas.microsoft.com/office/drawing/2014/chart" uri="{C3380CC4-5D6E-409C-BE32-E72D297353CC}">
              <c16:uniqueId val="{00000000-876B-5E43-8272-DE0DF88D9ECF}"/>
            </c:ext>
          </c:extLst>
        </c:ser>
        <c:ser>
          <c:idx val="1"/>
          <c:order val="1"/>
          <c:tx>
            <c:strRef>
              <c:f>'June 08, 2020'!$C$2:$C$3</c:f>
              <c:strCache>
                <c:ptCount val="2"/>
                <c:pt idx="0">
                  <c:v>Total ICU</c:v>
                </c:pt>
                <c:pt idx="1">
                  <c:v>252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6B-5E43-8272-DE0DF88D9EC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08,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08, 2020'!$C$4:$C$16</c:f>
              <c:numCache>
                <c:formatCode>General</c:formatCode>
                <c:ptCount val="13"/>
                <c:pt idx="0">
                  <c:v>5</c:v>
                </c:pt>
                <c:pt idx="1">
                  <c:v>6</c:v>
                </c:pt>
                <c:pt idx="2">
                  <c:v>117</c:v>
                </c:pt>
                <c:pt idx="3">
                  <c:v>121</c:v>
                </c:pt>
                <c:pt idx="4">
                  <c:v>2</c:v>
                </c:pt>
                <c:pt idx="5">
                  <c:v>0</c:v>
                </c:pt>
                <c:pt idx="6">
                  <c:v>0</c:v>
                </c:pt>
                <c:pt idx="7">
                  <c:v>0</c:v>
                </c:pt>
                <c:pt idx="8">
                  <c:v>1</c:v>
                </c:pt>
                <c:pt idx="9">
                  <c:v>0</c:v>
                </c:pt>
                <c:pt idx="10">
                  <c:v>0</c:v>
                </c:pt>
                <c:pt idx="11">
                  <c:v>0</c:v>
                </c:pt>
                <c:pt idx="12">
                  <c:v>0</c:v>
                </c:pt>
              </c:numCache>
            </c:numRef>
          </c:val>
          <c:extLst>
            <c:ext xmlns:c16="http://schemas.microsoft.com/office/drawing/2014/chart" uri="{C3380CC4-5D6E-409C-BE32-E72D297353CC}">
              <c16:uniqueId val="{00000002-876B-5E43-8272-DE0DF88D9ECF}"/>
            </c:ext>
          </c:extLst>
        </c:ser>
        <c:dLbls>
          <c:dLblPos val="outEnd"/>
          <c:showLegendKey val="0"/>
          <c:showVal val="1"/>
          <c:showCatName val="0"/>
          <c:showSerName val="0"/>
          <c:showPercent val="0"/>
          <c:showBubbleSize val="0"/>
        </c:dLbls>
        <c:gapWidth val="100"/>
        <c:overlap val="-24"/>
        <c:axId val="528141528"/>
        <c:axId val="528143096"/>
      </c:barChart>
      <c:catAx>
        <c:axId val="52814152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43096"/>
        <c:crosses val="autoZero"/>
        <c:auto val="1"/>
        <c:lblAlgn val="ctr"/>
        <c:lblOffset val="100"/>
        <c:noMultiLvlLbl val="0"/>
      </c:catAx>
      <c:valAx>
        <c:axId val="52814309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41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2020-06-05</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'June 05, 2020'!$B$2:$B$3</c:f>
              <c:strCache>
                <c:ptCount val="2"/>
                <c:pt idx="0">
                  <c:v>Total Hospital</c:v>
                </c:pt>
                <c:pt idx="1">
                  <c:v>1760</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05,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05, 2020'!$B$4:$B$16</c:f>
              <c:numCache>
                <c:formatCode>General</c:formatCode>
                <c:ptCount val="13"/>
                <c:pt idx="0">
                  <c:v>26</c:v>
                </c:pt>
                <c:pt idx="1">
                  <c:v>48</c:v>
                </c:pt>
                <c:pt idx="2" formatCode="0">
                  <c:v>776</c:v>
                </c:pt>
                <c:pt idx="3">
                  <c:v>899</c:v>
                </c:pt>
                <c:pt idx="4">
                  <c:v>3</c:v>
                </c:pt>
                <c:pt idx="5">
                  <c:v>5</c:v>
                </c:pt>
                <c:pt idx="6">
                  <c:v>0</c:v>
                </c:pt>
                <c:pt idx="7">
                  <c:v>0</c:v>
                </c:pt>
                <c:pt idx="8">
                  <c:v>2</c:v>
                </c:pt>
                <c:pt idx="9">
                  <c:v>1</c:v>
                </c:pt>
                <c:pt idx="10">
                  <c:v>0</c:v>
                </c:pt>
                <c:pt idx="11">
                  <c:v>0</c:v>
                </c:pt>
                <c:pt idx="12">
                  <c:v>0</c:v>
                </c:pt>
              </c:numCache>
            </c:numRef>
          </c:val>
          <c:extLst>
            <c:ext xmlns:c16="http://schemas.microsoft.com/office/drawing/2014/chart" uri="{C3380CC4-5D6E-409C-BE32-E72D297353CC}">
              <c16:uniqueId val="{00000000-174B-A149-8502-EF889C544B82}"/>
            </c:ext>
          </c:extLst>
        </c:ser>
        <c:ser>
          <c:idx val="1"/>
          <c:order val="1"/>
          <c:tx>
            <c:strRef>
              <c:f>'June 05, 2020'!$C$2:$C$3</c:f>
              <c:strCache>
                <c:ptCount val="2"/>
                <c:pt idx="0">
                  <c:v>Total ICU</c:v>
                </c:pt>
                <c:pt idx="1">
                  <c:v>269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4B-A149-8502-EF889C544B8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05,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05, 2020'!$C$4:$C$16</c:f>
              <c:numCache>
                <c:formatCode>General</c:formatCode>
                <c:ptCount val="13"/>
                <c:pt idx="0">
                  <c:v>6</c:v>
                </c:pt>
                <c:pt idx="1">
                  <c:v>6</c:v>
                </c:pt>
                <c:pt idx="2">
                  <c:v>121</c:v>
                </c:pt>
                <c:pt idx="3">
                  <c:v>131</c:v>
                </c:pt>
                <c:pt idx="4">
                  <c:v>2</c:v>
                </c:pt>
                <c:pt idx="5">
                  <c:v>1</c:v>
                </c:pt>
                <c:pt idx="6">
                  <c:v>0</c:v>
                </c:pt>
                <c:pt idx="7">
                  <c:v>0</c:v>
                </c:pt>
                <c:pt idx="8">
                  <c:v>2</c:v>
                </c:pt>
                <c:pt idx="9">
                  <c:v>0</c:v>
                </c:pt>
                <c:pt idx="10">
                  <c:v>0</c:v>
                </c:pt>
                <c:pt idx="11">
                  <c:v>0</c:v>
                </c:pt>
                <c:pt idx="12">
                  <c:v>0</c:v>
                </c:pt>
              </c:numCache>
            </c:numRef>
          </c:val>
          <c:extLst>
            <c:ext xmlns:c16="http://schemas.microsoft.com/office/drawing/2014/chart" uri="{C3380CC4-5D6E-409C-BE32-E72D297353CC}">
              <c16:uniqueId val="{00000002-174B-A149-8502-EF889C544B82}"/>
            </c:ext>
          </c:extLst>
        </c:ser>
        <c:dLbls>
          <c:dLblPos val="outEnd"/>
          <c:showLegendKey val="0"/>
          <c:showVal val="1"/>
          <c:showCatName val="0"/>
          <c:showSerName val="0"/>
          <c:showPercent val="0"/>
          <c:showBubbleSize val="0"/>
        </c:dLbls>
        <c:gapWidth val="100"/>
        <c:overlap val="-24"/>
        <c:axId val="528144664"/>
        <c:axId val="528159952"/>
      </c:barChart>
      <c:catAx>
        <c:axId val="52814466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59952"/>
        <c:crosses val="autoZero"/>
        <c:auto val="1"/>
        <c:lblAlgn val="ctr"/>
        <c:lblOffset val="100"/>
        <c:noMultiLvlLbl val="0"/>
      </c:catAx>
      <c:valAx>
        <c:axId val="52815995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44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2020-06-03</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'June 03, 2020'!$B$2:$B$3</c:f>
              <c:strCache>
                <c:ptCount val="2"/>
                <c:pt idx="0">
                  <c:v>Total Hospital</c:v>
                </c:pt>
                <c:pt idx="1">
                  <c:v>1877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03,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03, 2020'!$B$4:$B$16</c:f>
              <c:numCache>
                <c:formatCode>General</c:formatCode>
                <c:ptCount val="13"/>
                <c:pt idx="0">
                  <c:v>31</c:v>
                </c:pt>
                <c:pt idx="1">
                  <c:v>51</c:v>
                </c:pt>
                <c:pt idx="2" formatCode="0">
                  <c:v>801</c:v>
                </c:pt>
                <c:pt idx="3">
                  <c:v>983</c:v>
                </c:pt>
                <c:pt idx="4">
                  <c:v>3</c:v>
                </c:pt>
                <c:pt idx="5">
                  <c:v>5</c:v>
                </c:pt>
                <c:pt idx="6">
                  <c:v>0</c:v>
                </c:pt>
                <c:pt idx="7">
                  <c:v>0</c:v>
                </c:pt>
                <c:pt idx="8">
                  <c:v>2</c:v>
                </c:pt>
                <c:pt idx="9">
                  <c:v>1</c:v>
                </c:pt>
                <c:pt idx="10">
                  <c:v>0</c:v>
                </c:pt>
                <c:pt idx="11">
                  <c:v>0</c:v>
                </c:pt>
                <c:pt idx="12">
                  <c:v>0</c:v>
                </c:pt>
              </c:numCache>
            </c:numRef>
          </c:val>
          <c:extLst>
            <c:ext xmlns:c16="http://schemas.microsoft.com/office/drawing/2014/chart" uri="{C3380CC4-5D6E-409C-BE32-E72D297353CC}">
              <c16:uniqueId val="{00000000-9E7A-BD4F-BFB0-5F7F03CA500E}"/>
            </c:ext>
          </c:extLst>
        </c:ser>
        <c:ser>
          <c:idx val="1"/>
          <c:order val="1"/>
          <c:tx>
            <c:strRef>
              <c:f>'June 03, 2020'!$C$2:$C$3</c:f>
              <c:strCache>
                <c:ptCount val="2"/>
                <c:pt idx="0">
                  <c:v>Total ICU</c:v>
                </c:pt>
                <c:pt idx="1">
                  <c:v>301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E7A-BD4F-BFB0-5F7F03CA500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03,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03, 2020'!$C$4:$C$16</c:f>
              <c:numCache>
                <c:formatCode>General</c:formatCode>
                <c:ptCount val="13"/>
                <c:pt idx="0">
                  <c:v>8</c:v>
                </c:pt>
                <c:pt idx="1">
                  <c:v>6</c:v>
                </c:pt>
                <c:pt idx="2">
                  <c:v>125</c:v>
                </c:pt>
                <c:pt idx="3">
                  <c:v>158</c:v>
                </c:pt>
                <c:pt idx="4">
                  <c:v>1</c:v>
                </c:pt>
                <c:pt idx="5">
                  <c:v>1</c:v>
                </c:pt>
                <c:pt idx="6">
                  <c:v>0</c:v>
                </c:pt>
                <c:pt idx="7">
                  <c:v>0</c:v>
                </c:pt>
                <c:pt idx="8">
                  <c:v>2</c:v>
                </c:pt>
                <c:pt idx="9">
                  <c:v>0</c:v>
                </c:pt>
                <c:pt idx="10">
                  <c:v>0</c:v>
                </c:pt>
                <c:pt idx="11">
                  <c:v>0</c:v>
                </c:pt>
                <c:pt idx="12">
                  <c:v>0</c:v>
                </c:pt>
              </c:numCache>
            </c:numRef>
          </c:val>
          <c:extLst>
            <c:ext xmlns:c16="http://schemas.microsoft.com/office/drawing/2014/chart" uri="{C3380CC4-5D6E-409C-BE32-E72D297353CC}">
              <c16:uniqueId val="{00000002-9E7A-BD4F-BFB0-5F7F03CA500E}"/>
            </c:ext>
          </c:extLst>
        </c:ser>
        <c:dLbls>
          <c:dLblPos val="outEnd"/>
          <c:showLegendKey val="0"/>
          <c:showVal val="1"/>
          <c:showCatName val="0"/>
          <c:showSerName val="0"/>
          <c:showPercent val="0"/>
          <c:showBubbleSize val="0"/>
        </c:dLbls>
        <c:gapWidth val="100"/>
        <c:overlap val="-24"/>
        <c:axId val="528150544"/>
        <c:axId val="528152504"/>
      </c:barChart>
      <c:catAx>
        <c:axId val="52815054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52504"/>
        <c:crosses val="autoZero"/>
        <c:auto val="1"/>
        <c:lblAlgn val="ctr"/>
        <c:lblOffset val="100"/>
        <c:noMultiLvlLbl val="0"/>
      </c:catAx>
      <c:valAx>
        <c:axId val="52815250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50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2020-06-01</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'June 01, 2020'!$B$2:$B$3</c:f>
              <c:strCache>
                <c:ptCount val="2"/>
                <c:pt idx="0">
                  <c:v>Total Hospital</c:v>
                </c:pt>
                <c:pt idx="1">
                  <c:v>1903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01,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01, 2020'!$B$4:$B$16</c:f>
              <c:numCache>
                <c:formatCode>General</c:formatCode>
                <c:ptCount val="13"/>
                <c:pt idx="0">
                  <c:v>34</c:v>
                </c:pt>
                <c:pt idx="1">
                  <c:v>52</c:v>
                </c:pt>
                <c:pt idx="2" formatCode="0">
                  <c:v>781</c:v>
                </c:pt>
                <c:pt idx="3">
                  <c:v>1022</c:v>
                </c:pt>
                <c:pt idx="4">
                  <c:v>6</c:v>
                </c:pt>
                <c:pt idx="5">
                  <c:v>3</c:v>
                </c:pt>
                <c:pt idx="6">
                  <c:v>0</c:v>
                </c:pt>
                <c:pt idx="7">
                  <c:v>0</c:v>
                </c:pt>
                <c:pt idx="8">
                  <c:v>4</c:v>
                </c:pt>
                <c:pt idx="9">
                  <c:v>1</c:v>
                </c:pt>
                <c:pt idx="10">
                  <c:v>0</c:v>
                </c:pt>
                <c:pt idx="11">
                  <c:v>0</c:v>
                </c:pt>
                <c:pt idx="12">
                  <c:v>0</c:v>
                </c:pt>
              </c:numCache>
            </c:numRef>
          </c:val>
          <c:extLst>
            <c:ext xmlns:c16="http://schemas.microsoft.com/office/drawing/2014/chart" uri="{C3380CC4-5D6E-409C-BE32-E72D297353CC}">
              <c16:uniqueId val="{00000000-A3A3-6343-96DF-9830EB618D51}"/>
            </c:ext>
          </c:extLst>
        </c:ser>
        <c:ser>
          <c:idx val="1"/>
          <c:order val="1"/>
          <c:tx>
            <c:strRef>
              <c:f>'June 01, 2020'!$C$2:$C$3</c:f>
              <c:strCache>
                <c:ptCount val="2"/>
                <c:pt idx="0">
                  <c:v>Total ICU</c:v>
                </c:pt>
                <c:pt idx="1">
                  <c:v>297</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3A3-6343-96DF-9830EB618D5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01,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01, 2020'!$C$4:$C$16</c:f>
              <c:numCache>
                <c:formatCode>General</c:formatCode>
                <c:ptCount val="13"/>
                <c:pt idx="0">
                  <c:v>6</c:v>
                </c:pt>
                <c:pt idx="1">
                  <c:v>6</c:v>
                </c:pt>
                <c:pt idx="2">
                  <c:v>118</c:v>
                </c:pt>
                <c:pt idx="3">
                  <c:v>163</c:v>
                </c:pt>
                <c:pt idx="4">
                  <c:v>2</c:v>
                </c:pt>
                <c:pt idx="5">
                  <c:v>1</c:v>
                </c:pt>
                <c:pt idx="6">
                  <c:v>0</c:v>
                </c:pt>
                <c:pt idx="7">
                  <c:v>0</c:v>
                </c:pt>
                <c:pt idx="8">
                  <c:v>1</c:v>
                </c:pt>
                <c:pt idx="9">
                  <c:v>0</c:v>
                </c:pt>
                <c:pt idx="10">
                  <c:v>0</c:v>
                </c:pt>
                <c:pt idx="11">
                  <c:v>0</c:v>
                </c:pt>
                <c:pt idx="12">
                  <c:v>0</c:v>
                </c:pt>
              </c:numCache>
            </c:numRef>
          </c:val>
          <c:extLst>
            <c:ext xmlns:c16="http://schemas.microsoft.com/office/drawing/2014/chart" uri="{C3380CC4-5D6E-409C-BE32-E72D297353CC}">
              <c16:uniqueId val="{00000002-A3A3-6343-96DF-9830EB618D51}"/>
            </c:ext>
          </c:extLst>
        </c:ser>
        <c:dLbls>
          <c:dLblPos val="outEnd"/>
          <c:showLegendKey val="0"/>
          <c:showVal val="1"/>
          <c:showCatName val="0"/>
          <c:showSerName val="0"/>
          <c:showPercent val="0"/>
          <c:showBubbleSize val="0"/>
        </c:dLbls>
        <c:gapWidth val="100"/>
        <c:overlap val="-24"/>
        <c:axId val="528147800"/>
        <c:axId val="528153288"/>
      </c:barChart>
      <c:catAx>
        <c:axId val="52814780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53288"/>
        <c:crosses val="autoZero"/>
        <c:auto val="1"/>
        <c:lblAlgn val="ctr"/>
        <c:lblOffset val="100"/>
        <c:noMultiLvlLbl val="0"/>
      </c:catAx>
      <c:valAx>
        <c:axId val="52815328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47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2020-05-29</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'May 29, 2020'!$B$2:$B$3</c:f>
              <c:strCache>
                <c:ptCount val="2"/>
                <c:pt idx="0">
                  <c:v>Total Hospital</c:v>
                </c:pt>
                <c:pt idx="1">
                  <c:v>2022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29,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29, 2020'!$B$4:$B$16</c:f>
              <c:numCache>
                <c:formatCode>General</c:formatCode>
                <c:ptCount val="13"/>
                <c:pt idx="0">
                  <c:v>33</c:v>
                </c:pt>
                <c:pt idx="1">
                  <c:v>50</c:v>
                </c:pt>
                <c:pt idx="2" formatCode="0">
                  <c:v>833</c:v>
                </c:pt>
                <c:pt idx="3">
                  <c:v>1093</c:v>
                </c:pt>
                <c:pt idx="4">
                  <c:v>8</c:v>
                </c:pt>
                <c:pt idx="5">
                  <c:v>0</c:v>
                </c:pt>
                <c:pt idx="6">
                  <c:v>0</c:v>
                </c:pt>
                <c:pt idx="7">
                  <c:v>0</c:v>
                </c:pt>
                <c:pt idx="8">
                  <c:v>4</c:v>
                </c:pt>
                <c:pt idx="9">
                  <c:v>1</c:v>
                </c:pt>
                <c:pt idx="10">
                  <c:v>0</c:v>
                </c:pt>
                <c:pt idx="11">
                  <c:v>0</c:v>
                </c:pt>
                <c:pt idx="12">
                  <c:v>0</c:v>
                </c:pt>
              </c:numCache>
            </c:numRef>
          </c:val>
          <c:extLst>
            <c:ext xmlns:c16="http://schemas.microsoft.com/office/drawing/2014/chart" uri="{C3380CC4-5D6E-409C-BE32-E72D297353CC}">
              <c16:uniqueId val="{00000000-5BA5-AD44-944D-C7A44A2E66D9}"/>
            </c:ext>
          </c:extLst>
        </c:ser>
        <c:ser>
          <c:idx val="1"/>
          <c:order val="1"/>
          <c:tx>
            <c:strRef>
              <c:f>'May 29, 2020'!$C$2:$C$3</c:f>
              <c:strCache>
                <c:ptCount val="2"/>
                <c:pt idx="0">
                  <c:v>Total ICU</c:v>
                </c:pt>
                <c:pt idx="1">
                  <c:v>324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A5-AD44-944D-C7A44A2E66D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29,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29, 2020'!$C$4:$C$16</c:f>
              <c:numCache>
                <c:formatCode>General</c:formatCode>
                <c:ptCount val="13"/>
                <c:pt idx="0">
                  <c:v>6</c:v>
                </c:pt>
                <c:pt idx="1">
                  <c:v>4</c:v>
                </c:pt>
                <c:pt idx="2">
                  <c:v>137</c:v>
                </c:pt>
                <c:pt idx="3">
                  <c:v>172</c:v>
                </c:pt>
                <c:pt idx="4">
                  <c:v>3</c:v>
                </c:pt>
                <c:pt idx="5">
                  <c:v>0</c:v>
                </c:pt>
                <c:pt idx="6">
                  <c:v>0</c:v>
                </c:pt>
                <c:pt idx="7">
                  <c:v>0</c:v>
                </c:pt>
                <c:pt idx="8">
                  <c:v>1</c:v>
                </c:pt>
                <c:pt idx="9">
                  <c:v>1</c:v>
                </c:pt>
                <c:pt idx="10">
                  <c:v>0</c:v>
                </c:pt>
                <c:pt idx="11">
                  <c:v>0</c:v>
                </c:pt>
                <c:pt idx="12">
                  <c:v>0</c:v>
                </c:pt>
              </c:numCache>
            </c:numRef>
          </c:val>
          <c:extLst>
            <c:ext xmlns:c16="http://schemas.microsoft.com/office/drawing/2014/chart" uri="{C3380CC4-5D6E-409C-BE32-E72D297353CC}">
              <c16:uniqueId val="{00000002-5BA5-AD44-944D-C7A44A2E66D9}"/>
            </c:ext>
          </c:extLst>
        </c:ser>
        <c:dLbls>
          <c:dLblPos val="outEnd"/>
          <c:showLegendKey val="0"/>
          <c:showVal val="1"/>
          <c:showCatName val="0"/>
          <c:showSerName val="0"/>
          <c:showPercent val="0"/>
          <c:showBubbleSize val="0"/>
        </c:dLbls>
        <c:gapWidth val="100"/>
        <c:overlap val="-24"/>
        <c:axId val="528151720"/>
        <c:axId val="528148584"/>
      </c:barChart>
      <c:catAx>
        <c:axId val="52815172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48584"/>
        <c:crosses val="autoZero"/>
        <c:auto val="1"/>
        <c:lblAlgn val="ctr"/>
        <c:lblOffset val="100"/>
        <c:noMultiLvlLbl val="0"/>
      </c:catAx>
      <c:valAx>
        <c:axId val="52814858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517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2020-05-27</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'May 27, 2020'!$B$2:$B$3</c:f>
              <c:strCache>
                <c:ptCount val="2"/>
                <c:pt idx="0">
                  <c:v>Total Hospital</c:v>
                </c:pt>
                <c:pt idx="1">
                  <c:v>2137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27,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27, 2020'!$B$4:$B$16</c:f>
              <c:numCache>
                <c:formatCode>General</c:formatCode>
                <c:ptCount val="13"/>
                <c:pt idx="0">
                  <c:v>37</c:v>
                </c:pt>
                <c:pt idx="1">
                  <c:v>45</c:v>
                </c:pt>
                <c:pt idx="2" formatCode="0">
                  <c:v>848</c:v>
                </c:pt>
                <c:pt idx="3">
                  <c:v>1194</c:v>
                </c:pt>
                <c:pt idx="4">
                  <c:v>7</c:v>
                </c:pt>
                <c:pt idx="5">
                  <c:v>0</c:v>
                </c:pt>
                <c:pt idx="6">
                  <c:v>0</c:v>
                </c:pt>
                <c:pt idx="7">
                  <c:v>0</c:v>
                </c:pt>
                <c:pt idx="8">
                  <c:v>5</c:v>
                </c:pt>
                <c:pt idx="9">
                  <c:v>1</c:v>
                </c:pt>
                <c:pt idx="10">
                  <c:v>0</c:v>
                </c:pt>
                <c:pt idx="11">
                  <c:v>0</c:v>
                </c:pt>
                <c:pt idx="12">
                  <c:v>0</c:v>
                </c:pt>
              </c:numCache>
            </c:numRef>
          </c:val>
          <c:extLst>
            <c:ext xmlns:c16="http://schemas.microsoft.com/office/drawing/2014/chart" uri="{C3380CC4-5D6E-409C-BE32-E72D297353CC}">
              <c16:uniqueId val="{00000000-AE8B-FF4C-9521-CCF35B25DD44}"/>
            </c:ext>
          </c:extLst>
        </c:ser>
        <c:ser>
          <c:idx val="1"/>
          <c:order val="1"/>
          <c:tx>
            <c:strRef>
              <c:f>'May 27, 2020'!$C$2:$C$3</c:f>
              <c:strCache>
                <c:ptCount val="2"/>
                <c:pt idx="0">
                  <c:v>Total ICU</c:v>
                </c:pt>
                <c:pt idx="1">
                  <c:v>346</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E8B-FF4C-9521-CCF35B25DD4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27,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27, 2020'!$C$4:$C$16</c:f>
              <c:numCache>
                <c:formatCode>General</c:formatCode>
                <c:ptCount val="13"/>
                <c:pt idx="0">
                  <c:v>7</c:v>
                </c:pt>
                <c:pt idx="1">
                  <c:v>5</c:v>
                </c:pt>
                <c:pt idx="2">
                  <c:v>143</c:v>
                </c:pt>
                <c:pt idx="3">
                  <c:v>184</c:v>
                </c:pt>
                <c:pt idx="4">
                  <c:v>3</c:v>
                </c:pt>
                <c:pt idx="5">
                  <c:v>0</c:v>
                </c:pt>
                <c:pt idx="6">
                  <c:v>0</c:v>
                </c:pt>
                <c:pt idx="7">
                  <c:v>0</c:v>
                </c:pt>
                <c:pt idx="8">
                  <c:v>3</c:v>
                </c:pt>
                <c:pt idx="9">
                  <c:v>1</c:v>
                </c:pt>
                <c:pt idx="10">
                  <c:v>0</c:v>
                </c:pt>
                <c:pt idx="11">
                  <c:v>0</c:v>
                </c:pt>
                <c:pt idx="12">
                  <c:v>0</c:v>
                </c:pt>
              </c:numCache>
            </c:numRef>
          </c:val>
          <c:extLst>
            <c:ext xmlns:c16="http://schemas.microsoft.com/office/drawing/2014/chart" uri="{C3380CC4-5D6E-409C-BE32-E72D297353CC}">
              <c16:uniqueId val="{00000002-AE8B-FF4C-9521-CCF35B25DD44}"/>
            </c:ext>
          </c:extLst>
        </c:ser>
        <c:dLbls>
          <c:dLblPos val="outEnd"/>
          <c:showLegendKey val="0"/>
          <c:showVal val="1"/>
          <c:showCatName val="0"/>
          <c:showSerName val="0"/>
          <c:showPercent val="0"/>
          <c:showBubbleSize val="0"/>
        </c:dLbls>
        <c:gapWidth val="100"/>
        <c:overlap val="-24"/>
        <c:axId val="528155640"/>
        <c:axId val="528154464"/>
      </c:barChart>
      <c:catAx>
        <c:axId val="52815564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54464"/>
        <c:crosses val="autoZero"/>
        <c:auto val="1"/>
        <c:lblAlgn val="ctr"/>
        <c:lblOffset val="100"/>
        <c:noMultiLvlLbl val="0"/>
      </c:catAx>
      <c:valAx>
        <c:axId val="52815446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55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2020-05-25</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'May 25, 2020'!$B$2:$B$3</c:f>
              <c:strCache>
                <c:ptCount val="2"/>
                <c:pt idx="0">
                  <c:v>Total Hospital</c:v>
                </c:pt>
                <c:pt idx="1">
                  <c:v>2244</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25,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25, 2020'!$B$4:$B$16</c:f>
              <c:numCache>
                <c:formatCode>General</c:formatCode>
                <c:ptCount val="13"/>
                <c:pt idx="0">
                  <c:v>41</c:v>
                </c:pt>
                <c:pt idx="1">
                  <c:v>46</c:v>
                </c:pt>
                <c:pt idx="2" formatCode="0">
                  <c:v>878</c:v>
                </c:pt>
                <c:pt idx="3">
                  <c:v>1265</c:v>
                </c:pt>
                <c:pt idx="4">
                  <c:v>6</c:v>
                </c:pt>
                <c:pt idx="5">
                  <c:v>0</c:v>
                </c:pt>
                <c:pt idx="6">
                  <c:v>0</c:v>
                </c:pt>
                <c:pt idx="7">
                  <c:v>0</c:v>
                </c:pt>
                <c:pt idx="8">
                  <c:v>5</c:v>
                </c:pt>
                <c:pt idx="9">
                  <c:v>3</c:v>
                </c:pt>
                <c:pt idx="10">
                  <c:v>0</c:v>
                </c:pt>
                <c:pt idx="11">
                  <c:v>0</c:v>
                </c:pt>
                <c:pt idx="12">
                  <c:v>0</c:v>
                </c:pt>
              </c:numCache>
            </c:numRef>
          </c:val>
          <c:extLst>
            <c:ext xmlns:c16="http://schemas.microsoft.com/office/drawing/2014/chart" uri="{C3380CC4-5D6E-409C-BE32-E72D297353CC}">
              <c16:uniqueId val="{00000000-E52B-2440-9DB0-2CE00E0C7318}"/>
            </c:ext>
          </c:extLst>
        </c:ser>
        <c:ser>
          <c:idx val="1"/>
          <c:order val="1"/>
          <c:tx>
            <c:strRef>
              <c:f>'May 25, 2020'!$C$2:$C$3</c:f>
              <c:strCache>
                <c:ptCount val="2"/>
                <c:pt idx="0">
                  <c:v>Total ICU</c:v>
                </c:pt>
                <c:pt idx="1">
                  <c:v>339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52B-2440-9DB0-2CE00E0C731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25,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25, 2020'!$C$4:$C$16</c:f>
              <c:numCache>
                <c:formatCode>General</c:formatCode>
                <c:ptCount val="13"/>
                <c:pt idx="0">
                  <c:v>8</c:v>
                </c:pt>
                <c:pt idx="1">
                  <c:v>6</c:v>
                </c:pt>
                <c:pt idx="2">
                  <c:v>148</c:v>
                </c:pt>
                <c:pt idx="3">
                  <c:v>170</c:v>
                </c:pt>
                <c:pt idx="4">
                  <c:v>3</c:v>
                </c:pt>
                <c:pt idx="5">
                  <c:v>0</c:v>
                </c:pt>
                <c:pt idx="6">
                  <c:v>0</c:v>
                </c:pt>
                <c:pt idx="7">
                  <c:v>0</c:v>
                </c:pt>
                <c:pt idx="8">
                  <c:v>3</c:v>
                </c:pt>
                <c:pt idx="9">
                  <c:v>1</c:v>
                </c:pt>
                <c:pt idx="10">
                  <c:v>0</c:v>
                </c:pt>
                <c:pt idx="11">
                  <c:v>0</c:v>
                </c:pt>
                <c:pt idx="12">
                  <c:v>0</c:v>
                </c:pt>
              </c:numCache>
            </c:numRef>
          </c:val>
          <c:extLst>
            <c:ext xmlns:c16="http://schemas.microsoft.com/office/drawing/2014/chart" uri="{C3380CC4-5D6E-409C-BE32-E72D297353CC}">
              <c16:uniqueId val="{00000002-E52B-2440-9DB0-2CE00E0C7318}"/>
            </c:ext>
          </c:extLst>
        </c:ser>
        <c:dLbls>
          <c:dLblPos val="outEnd"/>
          <c:showLegendKey val="0"/>
          <c:showVal val="1"/>
          <c:showCatName val="0"/>
          <c:showSerName val="0"/>
          <c:showPercent val="0"/>
          <c:showBubbleSize val="0"/>
        </c:dLbls>
        <c:gapWidth val="100"/>
        <c:overlap val="-24"/>
        <c:axId val="528155248"/>
        <c:axId val="528158776"/>
      </c:barChart>
      <c:catAx>
        <c:axId val="52815524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58776"/>
        <c:crosses val="autoZero"/>
        <c:auto val="1"/>
        <c:lblAlgn val="ctr"/>
        <c:lblOffset val="100"/>
        <c:noMultiLvlLbl val="0"/>
      </c:catAx>
      <c:valAx>
        <c:axId val="52815877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552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2020-05-21</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'May 21, 2020'!$B$2:$B$3</c:f>
              <c:strCache>
                <c:ptCount val="2"/>
                <c:pt idx="0">
                  <c:v>Total Hospital</c:v>
                </c:pt>
                <c:pt idx="1">
                  <c:v>2441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21,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21, 2020'!$B$4:$B$16</c:f>
              <c:numCache>
                <c:formatCode>General</c:formatCode>
                <c:ptCount val="13"/>
                <c:pt idx="0">
                  <c:v>43</c:v>
                </c:pt>
                <c:pt idx="1">
                  <c:v>58</c:v>
                </c:pt>
                <c:pt idx="2" formatCode="0">
                  <c:v>991</c:v>
                </c:pt>
                <c:pt idx="3">
                  <c:v>1333</c:v>
                </c:pt>
                <c:pt idx="4">
                  <c:v>8</c:v>
                </c:pt>
                <c:pt idx="5">
                  <c:v>0</c:v>
                </c:pt>
                <c:pt idx="6">
                  <c:v>1</c:v>
                </c:pt>
                <c:pt idx="7">
                  <c:v>0</c:v>
                </c:pt>
                <c:pt idx="8">
                  <c:v>4</c:v>
                </c:pt>
                <c:pt idx="9">
                  <c:v>3</c:v>
                </c:pt>
                <c:pt idx="10">
                  <c:v>0</c:v>
                </c:pt>
                <c:pt idx="11">
                  <c:v>0</c:v>
                </c:pt>
                <c:pt idx="12">
                  <c:v>0</c:v>
                </c:pt>
              </c:numCache>
            </c:numRef>
          </c:val>
          <c:extLst>
            <c:ext xmlns:c16="http://schemas.microsoft.com/office/drawing/2014/chart" uri="{C3380CC4-5D6E-409C-BE32-E72D297353CC}">
              <c16:uniqueId val="{00000000-A16A-F34D-A172-4719AF8168A7}"/>
            </c:ext>
          </c:extLst>
        </c:ser>
        <c:ser>
          <c:idx val="1"/>
          <c:order val="1"/>
          <c:tx>
            <c:strRef>
              <c:f>'May 21, 2020'!$C$2:$C$3</c:f>
              <c:strCache>
                <c:ptCount val="2"/>
                <c:pt idx="0">
                  <c:v>Total ICU</c:v>
                </c:pt>
                <c:pt idx="1">
                  <c:v>368</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16A-F34D-A172-4719AF8168A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21,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21, 2020'!$C$4:$C$16</c:f>
              <c:numCache>
                <c:formatCode>General</c:formatCode>
                <c:ptCount val="13"/>
                <c:pt idx="0">
                  <c:v>10</c:v>
                </c:pt>
                <c:pt idx="1">
                  <c:v>7</c:v>
                </c:pt>
                <c:pt idx="2">
                  <c:v>160</c:v>
                </c:pt>
                <c:pt idx="3">
                  <c:v>183</c:v>
                </c:pt>
                <c:pt idx="4">
                  <c:v>4</c:v>
                </c:pt>
                <c:pt idx="5">
                  <c:v>0</c:v>
                </c:pt>
                <c:pt idx="6">
                  <c:v>0</c:v>
                </c:pt>
                <c:pt idx="7">
                  <c:v>0</c:v>
                </c:pt>
                <c:pt idx="8">
                  <c:v>3</c:v>
                </c:pt>
                <c:pt idx="9">
                  <c:v>1</c:v>
                </c:pt>
                <c:pt idx="10">
                  <c:v>0</c:v>
                </c:pt>
                <c:pt idx="11">
                  <c:v>0</c:v>
                </c:pt>
                <c:pt idx="12">
                  <c:v>0</c:v>
                </c:pt>
              </c:numCache>
            </c:numRef>
          </c:val>
          <c:extLst>
            <c:ext xmlns:c16="http://schemas.microsoft.com/office/drawing/2014/chart" uri="{C3380CC4-5D6E-409C-BE32-E72D297353CC}">
              <c16:uniqueId val="{00000002-A16A-F34D-A172-4719AF8168A7}"/>
            </c:ext>
          </c:extLst>
        </c:ser>
        <c:dLbls>
          <c:dLblPos val="outEnd"/>
          <c:showLegendKey val="0"/>
          <c:showVal val="1"/>
          <c:showCatName val="0"/>
          <c:showSerName val="0"/>
          <c:showPercent val="0"/>
          <c:showBubbleSize val="0"/>
        </c:dLbls>
        <c:gapWidth val="100"/>
        <c:overlap val="-24"/>
        <c:axId val="528156032"/>
        <c:axId val="528156424"/>
      </c:barChart>
      <c:catAx>
        <c:axId val="52815603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56424"/>
        <c:crosses val="autoZero"/>
        <c:auto val="1"/>
        <c:lblAlgn val="ctr"/>
        <c:lblOffset val="100"/>
        <c:noMultiLvlLbl val="0"/>
      </c:catAx>
      <c:valAx>
        <c:axId val="52815642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56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2020-05-19</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'May 19, 2020'!$B$2:$B$3</c:f>
              <c:strCache>
                <c:ptCount val="2"/>
                <c:pt idx="0">
                  <c:v>Total Hospital</c:v>
                </c:pt>
                <c:pt idx="1">
                  <c:v>2694</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19,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19, 2020'!$B$4:$B$16</c:f>
              <c:numCache>
                <c:formatCode>General</c:formatCode>
                <c:ptCount val="13"/>
                <c:pt idx="0">
                  <c:v>47</c:v>
                </c:pt>
                <c:pt idx="1">
                  <c:v>65</c:v>
                </c:pt>
                <c:pt idx="2" formatCode="0">
                  <c:v>972</c:v>
                </c:pt>
                <c:pt idx="3">
                  <c:v>1592</c:v>
                </c:pt>
                <c:pt idx="4">
                  <c:v>9</c:v>
                </c:pt>
                <c:pt idx="5">
                  <c:v>0</c:v>
                </c:pt>
                <c:pt idx="6">
                  <c:v>1</c:v>
                </c:pt>
                <c:pt idx="7">
                  <c:v>0</c:v>
                </c:pt>
                <c:pt idx="8">
                  <c:v>5</c:v>
                </c:pt>
                <c:pt idx="9">
                  <c:v>3</c:v>
                </c:pt>
                <c:pt idx="10">
                  <c:v>0</c:v>
                </c:pt>
                <c:pt idx="11">
                  <c:v>0</c:v>
                </c:pt>
                <c:pt idx="12">
                  <c:v>0</c:v>
                </c:pt>
              </c:numCache>
            </c:numRef>
          </c:val>
          <c:extLst>
            <c:ext xmlns:c16="http://schemas.microsoft.com/office/drawing/2014/chart" uri="{C3380CC4-5D6E-409C-BE32-E72D297353CC}">
              <c16:uniqueId val="{00000000-15C9-494D-B10C-2CA301697FC7}"/>
            </c:ext>
          </c:extLst>
        </c:ser>
        <c:ser>
          <c:idx val="1"/>
          <c:order val="1"/>
          <c:tx>
            <c:strRef>
              <c:f>'May 19, 2020'!$C$2:$C$3</c:f>
              <c:strCache>
                <c:ptCount val="2"/>
                <c:pt idx="0">
                  <c:v>Total ICU</c:v>
                </c:pt>
                <c:pt idx="1">
                  <c:v>383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5C9-494D-B10C-2CA301697FC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19,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19, 2020'!$C$4:$C$16</c:f>
              <c:numCache>
                <c:formatCode>General</c:formatCode>
                <c:ptCount val="13"/>
                <c:pt idx="0">
                  <c:v>12</c:v>
                </c:pt>
                <c:pt idx="1">
                  <c:v>9</c:v>
                </c:pt>
                <c:pt idx="2">
                  <c:v>174</c:v>
                </c:pt>
                <c:pt idx="3">
                  <c:v>179</c:v>
                </c:pt>
                <c:pt idx="4">
                  <c:v>5</c:v>
                </c:pt>
                <c:pt idx="5">
                  <c:v>0</c:v>
                </c:pt>
                <c:pt idx="6">
                  <c:v>0</c:v>
                </c:pt>
                <c:pt idx="7">
                  <c:v>0</c:v>
                </c:pt>
                <c:pt idx="8">
                  <c:v>3</c:v>
                </c:pt>
                <c:pt idx="9">
                  <c:v>1</c:v>
                </c:pt>
                <c:pt idx="10">
                  <c:v>0</c:v>
                </c:pt>
                <c:pt idx="11">
                  <c:v>0</c:v>
                </c:pt>
                <c:pt idx="12">
                  <c:v>0</c:v>
                </c:pt>
              </c:numCache>
            </c:numRef>
          </c:val>
          <c:extLst>
            <c:ext xmlns:c16="http://schemas.microsoft.com/office/drawing/2014/chart" uri="{C3380CC4-5D6E-409C-BE32-E72D297353CC}">
              <c16:uniqueId val="{00000002-15C9-494D-B10C-2CA301697FC7}"/>
            </c:ext>
          </c:extLst>
        </c:ser>
        <c:dLbls>
          <c:dLblPos val="outEnd"/>
          <c:showLegendKey val="0"/>
          <c:showVal val="1"/>
          <c:showCatName val="0"/>
          <c:showSerName val="0"/>
          <c:showPercent val="0"/>
          <c:showBubbleSize val="0"/>
        </c:dLbls>
        <c:gapWidth val="100"/>
        <c:overlap val="-24"/>
        <c:axId val="528148192"/>
        <c:axId val="528156816"/>
      </c:barChart>
      <c:catAx>
        <c:axId val="52814819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56816"/>
        <c:crosses val="autoZero"/>
        <c:auto val="1"/>
        <c:lblAlgn val="ctr"/>
        <c:lblOffset val="100"/>
        <c:noMultiLvlLbl val="0"/>
      </c:catAx>
      <c:valAx>
        <c:axId val="52815681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48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2020-05-15</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'May 15, 2020'!$B$2:$B$3</c:f>
              <c:strCache>
                <c:ptCount val="2"/>
                <c:pt idx="0">
                  <c:v>Total Hospital</c:v>
                </c:pt>
                <c:pt idx="1">
                  <c:v>2818</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15,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15, 2020'!$B$4:$B$16</c:f>
              <c:numCache>
                <c:formatCode>General</c:formatCode>
                <c:ptCount val="13"/>
                <c:pt idx="0">
                  <c:v>58</c:v>
                </c:pt>
                <c:pt idx="1">
                  <c:v>65</c:v>
                </c:pt>
                <c:pt idx="2" formatCode="0">
                  <c:v>1026</c:v>
                </c:pt>
                <c:pt idx="3">
                  <c:v>1644</c:v>
                </c:pt>
                <c:pt idx="4">
                  <c:v>9</c:v>
                </c:pt>
                <c:pt idx="5">
                  <c:v>0</c:v>
                </c:pt>
                <c:pt idx="6">
                  <c:v>3</c:v>
                </c:pt>
                <c:pt idx="7">
                  <c:v>0</c:v>
                </c:pt>
                <c:pt idx="8">
                  <c:v>10</c:v>
                </c:pt>
                <c:pt idx="9">
                  <c:v>3</c:v>
                </c:pt>
                <c:pt idx="10">
                  <c:v>0</c:v>
                </c:pt>
                <c:pt idx="11">
                  <c:v>0</c:v>
                </c:pt>
                <c:pt idx="12">
                  <c:v>0</c:v>
                </c:pt>
              </c:numCache>
            </c:numRef>
          </c:val>
          <c:extLst>
            <c:ext xmlns:c16="http://schemas.microsoft.com/office/drawing/2014/chart" uri="{C3380CC4-5D6E-409C-BE32-E72D297353CC}">
              <c16:uniqueId val="{00000000-A72C-FC4B-AAF3-079AA4353D69}"/>
            </c:ext>
          </c:extLst>
        </c:ser>
        <c:ser>
          <c:idx val="1"/>
          <c:order val="1"/>
          <c:tx>
            <c:strRef>
              <c:f>'May 15, 2020'!$C$2:$C$3</c:f>
              <c:strCache>
                <c:ptCount val="2"/>
                <c:pt idx="0">
                  <c:v>Total ICU</c:v>
                </c:pt>
                <c:pt idx="1">
                  <c:v>406</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2C-FC4B-AAF3-079AA4353D6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15,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15, 2020'!$C$4:$C$16</c:f>
              <c:numCache>
                <c:formatCode>General</c:formatCode>
                <c:ptCount val="13"/>
                <c:pt idx="0">
                  <c:v>12</c:v>
                </c:pt>
                <c:pt idx="1">
                  <c:v>10</c:v>
                </c:pt>
                <c:pt idx="2">
                  <c:v>184</c:v>
                </c:pt>
                <c:pt idx="3">
                  <c:v>190</c:v>
                </c:pt>
                <c:pt idx="4">
                  <c:v>5</c:v>
                </c:pt>
                <c:pt idx="5">
                  <c:v>0</c:v>
                </c:pt>
                <c:pt idx="6">
                  <c:v>1</c:v>
                </c:pt>
                <c:pt idx="7">
                  <c:v>0</c:v>
                </c:pt>
                <c:pt idx="8">
                  <c:v>3</c:v>
                </c:pt>
                <c:pt idx="9">
                  <c:v>1</c:v>
                </c:pt>
                <c:pt idx="10">
                  <c:v>0</c:v>
                </c:pt>
                <c:pt idx="11">
                  <c:v>0</c:v>
                </c:pt>
                <c:pt idx="12">
                  <c:v>0</c:v>
                </c:pt>
              </c:numCache>
            </c:numRef>
          </c:val>
          <c:extLst>
            <c:ext xmlns:c16="http://schemas.microsoft.com/office/drawing/2014/chart" uri="{C3380CC4-5D6E-409C-BE32-E72D297353CC}">
              <c16:uniqueId val="{00000002-A72C-FC4B-AAF3-079AA4353D69}"/>
            </c:ext>
          </c:extLst>
        </c:ser>
        <c:dLbls>
          <c:dLblPos val="outEnd"/>
          <c:showLegendKey val="0"/>
          <c:showVal val="1"/>
          <c:showCatName val="0"/>
          <c:showSerName val="0"/>
          <c:showPercent val="0"/>
          <c:showBubbleSize val="0"/>
        </c:dLbls>
        <c:gapWidth val="100"/>
        <c:overlap val="-24"/>
        <c:axId val="528159560"/>
        <c:axId val="528149368"/>
      </c:barChart>
      <c:catAx>
        <c:axId val="52815956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49368"/>
        <c:crosses val="autoZero"/>
        <c:auto val="1"/>
        <c:lblAlgn val="ctr"/>
        <c:lblOffset val="100"/>
        <c:noMultiLvlLbl val="0"/>
      </c:catAx>
      <c:valAx>
        <c:axId val="52814936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595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2022-03-23</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'March 23, 2022'!$B$2:$B$3</c:f>
              <c:strCache>
                <c:ptCount val="2"/>
                <c:pt idx="0">
                  <c:v>Total Hospital</c:v>
                </c:pt>
                <c:pt idx="1">
                  <c:v>3646</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23,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23, 2022'!$B$4:$B$16</c:f>
              <c:numCache>
                <c:formatCode>General</c:formatCode>
                <c:ptCount val="13"/>
                <c:pt idx="0">
                  <c:v>254</c:v>
                </c:pt>
                <c:pt idx="1">
                  <c:v>966</c:v>
                </c:pt>
                <c:pt idx="2" formatCode="0">
                  <c:v>611</c:v>
                </c:pt>
                <c:pt idx="3" formatCode="#,##0">
                  <c:v>1034</c:v>
                </c:pt>
                <c:pt idx="4">
                  <c:v>38</c:v>
                </c:pt>
                <c:pt idx="5">
                  <c:v>129</c:v>
                </c:pt>
                <c:pt idx="6">
                  <c:v>192</c:v>
                </c:pt>
                <c:pt idx="7">
                  <c:v>22</c:v>
                </c:pt>
                <c:pt idx="8">
                  <c:v>299</c:v>
                </c:pt>
                <c:pt idx="9">
                  <c:v>29</c:v>
                </c:pt>
                <c:pt idx="10">
                  <c:v>38</c:v>
                </c:pt>
                <c:pt idx="11">
                  <c:v>1</c:v>
                </c:pt>
                <c:pt idx="12">
                  <c:v>33</c:v>
                </c:pt>
              </c:numCache>
            </c:numRef>
          </c:val>
          <c:extLst>
            <c:ext xmlns:c16="http://schemas.microsoft.com/office/drawing/2014/chart" uri="{C3380CC4-5D6E-409C-BE32-E72D297353CC}">
              <c16:uniqueId val="{00000000-EDA9-447A-B34A-7F5482B615D8}"/>
            </c:ext>
          </c:extLst>
        </c:ser>
        <c:ser>
          <c:idx val="1"/>
          <c:order val="1"/>
          <c:tx>
            <c:strRef>
              <c:f>'March 23, 2022'!$C$2:$C$3</c:f>
              <c:strCache>
                <c:ptCount val="2"/>
                <c:pt idx="0">
                  <c:v>Total ICU</c:v>
                </c:pt>
                <c:pt idx="1">
                  <c:v>409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23,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23, 2022'!$C$4:$C$16</c:f>
              <c:numCache>
                <c:formatCode>General</c:formatCode>
                <c:ptCount val="13"/>
                <c:pt idx="0">
                  <c:v>48</c:v>
                </c:pt>
                <c:pt idx="1">
                  <c:v>62</c:v>
                </c:pt>
                <c:pt idx="2">
                  <c:v>174</c:v>
                </c:pt>
                <c:pt idx="3">
                  <c:v>50</c:v>
                </c:pt>
                <c:pt idx="4">
                  <c:v>12</c:v>
                </c:pt>
                <c:pt idx="5">
                  <c:v>16</c:v>
                </c:pt>
                <c:pt idx="6">
                  <c:v>17</c:v>
                </c:pt>
                <c:pt idx="7">
                  <c:v>0</c:v>
                </c:pt>
                <c:pt idx="8">
                  <c:v>18</c:v>
                </c:pt>
                <c:pt idx="9">
                  <c:v>3</c:v>
                </c:pt>
                <c:pt idx="10">
                  <c:v>9</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51048"/>
        <c:axId val="451758104"/>
      </c:barChart>
      <c:catAx>
        <c:axId val="45175104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58104"/>
        <c:crosses val="autoZero"/>
        <c:auto val="1"/>
        <c:lblAlgn val="ctr"/>
        <c:lblOffset val="100"/>
        <c:noMultiLvlLbl val="0"/>
      </c:catAx>
      <c:valAx>
        <c:axId val="45175810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51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2020-05-13</a:t>
            </a:r>
          </a:p>
        </c:rich>
      </c:tx>
      <c:layout>
        <c:manualLayout>
          <c:xMode val="edge"/>
          <c:yMode val="edge"/>
          <c:x val="0.1458888888888889"/>
          <c:y val="3.2407407407407406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'May 13, 2020'!$B$2:$B$3</c:f>
              <c:strCache>
                <c:ptCount val="2"/>
                <c:pt idx="0">
                  <c:v>Total Hospital</c:v>
                </c:pt>
                <c:pt idx="1">
                  <c:v>2844</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13,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13, 2020'!$B$4:$B$16</c:f>
              <c:numCache>
                <c:formatCode>General</c:formatCode>
                <c:ptCount val="13"/>
                <c:pt idx="0">
                  <c:v>63</c:v>
                </c:pt>
                <c:pt idx="1">
                  <c:v>73</c:v>
                </c:pt>
                <c:pt idx="2" formatCode="0">
                  <c:v>1025</c:v>
                </c:pt>
                <c:pt idx="3">
                  <c:v>1655</c:v>
                </c:pt>
                <c:pt idx="4">
                  <c:v>9</c:v>
                </c:pt>
                <c:pt idx="5">
                  <c:v>0</c:v>
                </c:pt>
                <c:pt idx="6">
                  <c:v>4</c:v>
                </c:pt>
                <c:pt idx="7">
                  <c:v>0</c:v>
                </c:pt>
                <c:pt idx="8">
                  <c:v>11</c:v>
                </c:pt>
                <c:pt idx="9">
                  <c:v>4</c:v>
                </c:pt>
                <c:pt idx="10">
                  <c:v>0</c:v>
                </c:pt>
                <c:pt idx="11">
                  <c:v>0</c:v>
                </c:pt>
                <c:pt idx="12">
                  <c:v>0</c:v>
                </c:pt>
              </c:numCache>
            </c:numRef>
          </c:val>
          <c:extLst>
            <c:ext xmlns:c16="http://schemas.microsoft.com/office/drawing/2014/chart" uri="{C3380CC4-5D6E-409C-BE32-E72D297353CC}">
              <c16:uniqueId val="{00000000-A7C2-274E-B888-85E45B6B59EC}"/>
            </c:ext>
          </c:extLst>
        </c:ser>
        <c:ser>
          <c:idx val="1"/>
          <c:order val="1"/>
          <c:tx>
            <c:strRef>
              <c:f>'May 13, 2020'!$C$2:$C$3</c:f>
              <c:strCache>
                <c:ptCount val="2"/>
                <c:pt idx="0">
                  <c:v>Total ICU</c:v>
                </c:pt>
                <c:pt idx="1">
                  <c:v>420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C2-274E-B888-85E45B6B59E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13,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13, 2020'!$C$4:$C$16</c:f>
              <c:numCache>
                <c:formatCode>General</c:formatCode>
                <c:ptCount val="13"/>
                <c:pt idx="0">
                  <c:v>16</c:v>
                </c:pt>
                <c:pt idx="1">
                  <c:v>12</c:v>
                </c:pt>
                <c:pt idx="2">
                  <c:v>192</c:v>
                </c:pt>
                <c:pt idx="3">
                  <c:v>186</c:v>
                </c:pt>
                <c:pt idx="4">
                  <c:v>4</c:v>
                </c:pt>
                <c:pt idx="5">
                  <c:v>0</c:v>
                </c:pt>
                <c:pt idx="6">
                  <c:v>1</c:v>
                </c:pt>
                <c:pt idx="7">
                  <c:v>0</c:v>
                </c:pt>
                <c:pt idx="8">
                  <c:v>8</c:v>
                </c:pt>
                <c:pt idx="9">
                  <c:v>1</c:v>
                </c:pt>
                <c:pt idx="10">
                  <c:v>0</c:v>
                </c:pt>
                <c:pt idx="11">
                  <c:v>0</c:v>
                </c:pt>
                <c:pt idx="12">
                  <c:v>0</c:v>
                </c:pt>
              </c:numCache>
            </c:numRef>
          </c:val>
          <c:extLst>
            <c:ext xmlns:c16="http://schemas.microsoft.com/office/drawing/2014/chart" uri="{C3380CC4-5D6E-409C-BE32-E72D297353CC}">
              <c16:uniqueId val="{00000002-A7C2-274E-B888-85E45B6B59EC}"/>
            </c:ext>
          </c:extLst>
        </c:ser>
        <c:dLbls>
          <c:dLblPos val="outEnd"/>
          <c:showLegendKey val="0"/>
          <c:showVal val="1"/>
          <c:showCatName val="0"/>
          <c:showSerName val="0"/>
          <c:showPercent val="0"/>
          <c:showBubbleSize val="0"/>
        </c:dLbls>
        <c:gapWidth val="100"/>
        <c:overlap val="-24"/>
        <c:axId val="528152112"/>
        <c:axId val="528149760"/>
      </c:barChart>
      <c:catAx>
        <c:axId val="52815211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49760"/>
        <c:crosses val="autoZero"/>
        <c:auto val="1"/>
        <c:lblAlgn val="ctr"/>
        <c:lblOffset val="100"/>
        <c:noMultiLvlLbl val="0"/>
      </c:catAx>
      <c:valAx>
        <c:axId val="52814976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521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2020-05-11</a:t>
            </a:r>
          </a:p>
        </c:rich>
      </c:tx>
      <c:layout>
        <c:manualLayout>
          <c:xMode val="edge"/>
          <c:yMode val="edge"/>
          <c:x val="0.1458888888888889"/>
          <c:y val="3.2407407407407406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'May 11, 2020'!$B$2:$B$3</c:f>
              <c:strCache>
                <c:ptCount val="2"/>
                <c:pt idx="0">
                  <c:v>Total Hospital</c:v>
                </c:pt>
                <c:pt idx="1">
                  <c:v>2775</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11,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11, 2020'!$B$4:$B$16</c:f>
              <c:numCache>
                <c:formatCode>General</c:formatCode>
                <c:ptCount val="13"/>
                <c:pt idx="0">
                  <c:v>69</c:v>
                </c:pt>
                <c:pt idx="1">
                  <c:v>71</c:v>
                </c:pt>
                <c:pt idx="2">
                  <c:v>961</c:v>
                </c:pt>
                <c:pt idx="3">
                  <c:v>1632</c:v>
                </c:pt>
                <c:pt idx="4">
                  <c:v>9</c:v>
                </c:pt>
                <c:pt idx="5">
                  <c:v>13</c:v>
                </c:pt>
                <c:pt idx="6">
                  <c:v>4</c:v>
                </c:pt>
                <c:pt idx="7">
                  <c:v>0</c:v>
                </c:pt>
                <c:pt idx="8">
                  <c:v>12</c:v>
                </c:pt>
                <c:pt idx="9">
                  <c:v>4</c:v>
                </c:pt>
                <c:pt idx="10">
                  <c:v>0</c:v>
                </c:pt>
                <c:pt idx="11">
                  <c:v>0</c:v>
                </c:pt>
                <c:pt idx="12">
                  <c:v>0</c:v>
                </c:pt>
              </c:numCache>
            </c:numRef>
          </c:val>
          <c:extLst>
            <c:ext xmlns:c16="http://schemas.microsoft.com/office/drawing/2014/chart" uri="{C3380CC4-5D6E-409C-BE32-E72D297353CC}">
              <c16:uniqueId val="{00000000-97D5-C64F-9013-7E7F9A4B028C}"/>
            </c:ext>
          </c:extLst>
        </c:ser>
        <c:ser>
          <c:idx val="1"/>
          <c:order val="1"/>
          <c:tx>
            <c:strRef>
              <c:f>'May 11, 2020'!$C$2:$C$3</c:f>
              <c:strCache>
                <c:ptCount val="2"/>
                <c:pt idx="0">
                  <c:v>Total ICU</c:v>
                </c:pt>
                <c:pt idx="1">
                  <c:v>438</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7D5-C64F-9013-7E7F9A4B02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11,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11, 2020'!$C$4:$C$16</c:f>
              <c:numCache>
                <c:formatCode>General</c:formatCode>
                <c:ptCount val="13"/>
                <c:pt idx="0">
                  <c:v>21</c:v>
                </c:pt>
                <c:pt idx="1">
                  <c:v>13</c:v>
                </c:pt>
                <c:pt idx="2">
                  <c:v>195</c:v>
                </c:pt>
                <c:pt idx="3">
                  <c:v>199</c:v>
                </c:pt>
                <c:pt idx="4">
                  <c:v>3</c:v>
                </c:pt>
                <c:pt idx="5">
                  <c:v>0</c:v>
                </c:pt>
                <c:pt idx="6">
                  <c:v>1</c:v>
                </c:pt>
                <c:pt idx="7">
                  <c:v>0</c:v>
                </c:pt>
                <c:pt idx="8">
                  <c:v>4</c:v>
                </c:pt>
                <c:pt idx="9">
                  <c:v>2</c:v>
                </c:pt>
                <c:pt idx="10">
                  <c:v>0</c:v>
                </c:pt>
                <c:pt idx="11">
                  <c:v>0</c:v>
                </c:pt>
                <c:pt idx="12">
                  <c:v>0</c:v>
                </c:pt>
              </c:numCache>
            </c:numRef>
          </c:val>
          <c:extLst>
            <c:ext xmlns:c16="http://schemas.microsoft.com/office/drawing/2014/chart" uri="{C3380CC4-5D6E-409C-BE32-E72D297353CC}">
              <c16:uniqueId val="{00000002-97D5-C64F-9013-7E7F9A4B028C}"/>
            </c:ext>
          </c:extLst>
        </c:ser>
        <c:dLbls>
          <c:dLblPos val="outEnd"/>
          <c:showLegendKey val="0"/>
          <c:showVal val="1"/>
          <c:showCatName val="0"/>
          <c:showSerName val="0"/>
          <c:showPercent val="0"/>
          <c:showBubbleSize val="0"/>
        </c:dLbls>
        <c:gapWidth val="100"/>
        <c:overlap val="-24"/>
        <c:axId val="528152896"/>
        <c:axId val="528154072"/>
      </c:barChart>
      <c:catAx>
        <c:axId val="52815289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54072"/>
        <c:crosses val="autoZero"/>
        <c:auto val="1"/>
        <c:lblAlgn val="ctr"/>
        <c:lblOffset val="100"/>
        <c:noMultiLvlLbl val="0"/>
      </c:catAx>
      <c:valAx>
        <c:axId val="52815407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52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2020-05-06</a:t>
            </a:r>
          </a:p>
        </c:rich>
      </c:tx>
      <c:layout>
        <c:manualLayout>
          <c:xMode val="edge"/>
          <c:yMode val="edge"/>
          <c:x val="0.1458888888888889"/>
          <c:y val="3.2407407407407406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'May 6, 2020'!$B$2:$B$3</c:f>
              <c:strCache>
                <c:ptCount val="2"/>
                <c:pt idx="0">
                  <c:v>Total Hospital</c:v>
                </c:pt>
                <c:pt idx="1">
                  <c:v>2837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6,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6, 2020'!$B$4:$B$16</c:f>
              <c:numCache>
                <c:formatCode>General</c:formatCode>
                <c:ptCount val="13"/>
                <c:pt idx="0">
                  <c:v>78</c:v>
                </c:pt>
                <c:pt idx="1">
                  <c:v>87</c:v>
                </c:pt>
                <c:pt idx="2">
                  <c:v>1043</c:v>
                </c:pt>
                <c:pt idx="3">
                  <c:v>1603</c:v>
                </c:pt>
                <c:pt idx="4">
                  <c:v>5</c:v>
                </c:pt>
                <c:pt idx="5">
                  <c:v>0</c:v>
                </c:pt>
                <c:pt idx="6">
                  <c:v>4</c:v>
                </c:pt>
                <c:pt idx="7">
                  <c:v>0</c:v>
                </c:pt>
                <c:pt idx="8">
                  <c:v>13</c:v>
                </c:pt>
                <c:pt idx="9">
                  <c:v>4</c:v>
                </c:pt>
                <c:pt idx="10">
                  <c:v>0</c:v>
                </c:pt>
                <c:pt idx="11">
                  <c:v>0</c:v>
                </c:pt>
                <c:pt idx="12">
                  <c:v>0</c:v>
                </c:pt>
              </c:numCache>
            </c:numRef>
          </c:val>
          <c:extLst>
            <c:ext xmlns:c16="http://schemas.microsoft.com/office/drawing/2014/chart" uri="{C3380CC4-5D6E-409C-BE32-E72D297353CC}">
              <c16:uniqueId val="{00000000-4D0A-D64B-A46E-59DEB888C228}"/>
            </c:ext>
          </c:extLst>
        </c:ser>
        <c:ser>
          <c:idx val="1"/>
          <c:order val="1"/>
          <c:tx>
            <c:strRef>
              <c:f>'May 6, 2020'!$C$2:$C$3</c:f>
              <c:strCache>
                <c:ptCount val="2"/>
                <c:pt idx="0">
                  <c:v>Total ICU</c:v>
                </c:pt>
                <c:pt idx="1">
                  <c:v>490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D0A-D64B-A46E-59DEB888C22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6,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6, 2020'!$C$4:$C$16</c:f>
              <c:numCache>
                <c:formatCode>General</c:formatCode>
                <c:ptCount val="13"/>
                <c:pt idx="0">
                  <c:v>21</c:v>
                </c:pt>
                <c:pt idx="1">
                  <c:v>20</c:v>
                </c:pt>
                <c:pt idx="2">
                  <c:v>223</c:v>
                </c:pt>
                <c:pt idx="3">
                  <c:v>218</c:v>
                </c:pt>
                <c:pt idx="4">
                  <c:v>2</c:v>
                </c:pt>
                <c:pt idx="5">
                  <c:v>0</c:v>
                </c:pt>
                <c:pt idx="6">
                  <c:v>0</c:v>
                </c:pt>
                <c:pt idx="7">
                  <c:v>0</c:v>
                </c:pt>
                <c:pt idx="8">
                  <c:v>4</c:v>
                </c:pt>
                <c:pt idx="9">
                  <c:v>2</c:v>
                </c:pt>
                <c:pt idx="10">
                  <c:v>0</c:v>
                </c:pt>
                <c:pt idx="11">
                  <c:v>0</c:v>
                </c:pt>
                <c:pt idx="12">
                  <c:v>0</c:v>
                </c:pt>
              </c:numCache>
            </c:numRef>
          </c:val>
          <c:extLst>
            <c:ext xmlns:c16="http://schemas.microsoft.com/office/drawing/2014/chart" uri="{C3380CC4-5D6E-409C-BE32-E72D297353CC}">
              <c16:uniqueId val="{00000002-4D0A-D64B-A46E-59DEB888C228}"/>
            </c:ext>
          </c:extLst>
        </c:ser>
        <c:dLbls>
          <c:dLblPos val="outEnd"/>
          <c:showLegendKey val="0"/>
          <c:showVal val="1"/>
          <c:showCatName val="0"/>
          <c:showSerName val="0"/>
          <c:showPercent val="0"/>
          <c:showBubbleSize val="0"/>
        </c:dLbls>
        <c:gapWidth val="100"/>
        <c:overlap val="-24"/>
        <c:axId val="528162696"/>
        <c:axId val="528164264"/>
      </c:barChart>
      <c:catAx>
        <c:axId val="52816269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64264"/>
        <c:crosses val="autoZero"/>
        <c:auto val="1"/>
        <c:lblAlgn val="ctr"/>
        <c:lblOffset val="100"/>
        <c:noMultiLvlLbl val="0"/>
      </c:catAx>
      <c:valAx>
        <c:axId val="52816426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626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2020-05-04</a:t>
            </a:r>
          </a:p>
        </c:rich>
      </c:tx>
      <c:layout>
        <c:manualLayout>
          <c:xMode val="edge"/>
          <c:yMode val="edge"/>
          <c:x val="0.1458888888888889"/>
          <c:y val="3.2407407407407406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'May 4, 2020'!$B$2:$B$3</c:f>
              <c:strCache>
                <c:ptCount val="2"/>
                <c:pt idx="0">
                  <c:v>Total Hospital</c:v>
                </c:pt>
                <c:pt idx="1">
                  <c:v>2737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4,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4, 2020'!$B$4:$B$16</c:f>
              <c:numCache>
                <c:formatCode>General</c:formatCode>
                <c:ptCount val="13"/>
                <c:pt idx="0">
                  <c:v>72</c:v>
                </c:pt>
                <c:pt idx="1">
                  <c:v>90</c:v>
                </c:pt>
                <c:pt idx="2">
                  <c:v>1010</c:v>
                </c:pt>
                <c:pt idx="3">
                  <c:v>1536</c:v>
                </c:pt>
                <c:pt idx="4">
                  <c:v>6</c:v>
                </c:pt>
                <c:pt idx="5">
                  <c:v>0</c:v>
                </c:pt>
                <c:pt idx="6">
                  <c:v>5</c:v>
                </c:pt>
                <c:pt idx="7">
                  <c:v>0</c:v>
                </c:pt>
                <c:pt idx="8">
                  <c:v>14</c:v>
                </c:pt>
                <c:pt idx="9">
                  <c:v>4</c:v>
                </c:pt>
                <c:pt idx="10">
                  <c:v>0</c:v>
                </c:pt>
                <c:pt idx="11">
                  <c:v>0</c:v>
                </c:pt>
                <c:pt idx="12">
                  <c:v>0</c:v>
                </c:pt>
              </c:numCache>
            </c:numRef>
          </c:val>
          <c:extLst>
            <c:ext xmlns:c16="http://schemas.microsoft.com/office/drawing/2014/chart" uri="{C3380CC4-5D6E-409C-BE32-E72D297353CC}">
              <c16:uniqueId val="{00000000-AF78-5541-A572-A532E740A41A}"/>
            </c:ext>
          </c:extLst>
        </c:ser>
        <c:ser>
          <c:idx val="1"/>
          <c:order val="1"/>
          <c:tx>
            <c:strRef>
              <c:f>'May 4, 2020'!$C$2:$C$3</c:f>
              <c:strCache>
                <c:ptCount val="2"/>
                <c:pt idx="0">
                  <c:v>Total ICU</c:v>
                </c:pt>
                <c:pt idx="1">
                  <c:v>499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78-5541-A572-A532E740A41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4,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4, 2020'!$C$4:$C$16</c:f>
              <c:numCache>
                <c:formatCode>General</c:formatCode>
                <c:ptCount val="13"/>
                <c:pt idx="0">
                  <c:v>23</c:v>
                </c:pt>
                <c:pt idx="1">
                  <c:v>19</c:v>
                </c:pt>
                <c:pt idx="2">
                  <c:v>232</c:v>
                </c:pt>
                <c:pt idx="3">
                  <c:v>218</c:v>
                </c:pt>
                <c:pt idx="4">
                  <c:v>2</c:v>
                </c:pt>
                <c:pt idx="5">
                  <c:v>0</c:v>
                </c:pt>
                <c:pt idx="6">
                  <c:v>0</c:v>
                </c:pt>
                <c:pt idx="7">
                  <c:v>0</c:v>
                </c:pt>
                <c:pt idx="8">
                  <c:v>3</c:v>
                </c:pt>
                <c:pt idx="9">
                  <c:v>2</c:v>
                </c:pt>
                <c:pt idx="10">
                  <c:v>0</c:v>
                </c:pt>
                <c:pt idx="11">
                  <c:v>0</c:v>
                </c:pt>
                <c:pt idx="12">
                  <c:v>0</c:v>
                </c:pt>
              </c:numCache>
            </c:numRef>
          </c:val>
          <c:extLst>
            <c:ext xmlns:c16="http://schemas.microsoft.com/office/drawing/2014/chart" uri="{C3380CC4-5D6E-409C-BE32-E72D297353CC}">
              <c16:uniqueId val="{00000002-AF78-5541-A572-A532E740A41A}"/>
            </c:ext>
          </c:extLst>
        </c:ser>
        <c:dLbls>
          <c:dLblPos val="outEnd"/>
          <c:showLegendKey val="0"/>
          <c:showVal val="1"/>
          <c:showCatName val="0"/>
          <c:showSerName val="0"/>
          <c:showPercent val="0"/>
          <c:showBubbleSize val="0"/>
        </c:dLbls>
        <c:gapWidth val="100"/>
        <c:overlap val="-24"/>
        <c:axId val="528161128"/>
        <c:axId val="528165048"/>
      </c:barChart>
      <c:catAx>
        <c:axId val="52816112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65048"/>
        <c:crosses val="autoZero"/>
        <c:auto val="1"/>
        <c:lblAlgn val="ctr"/>
        <c:lblOffset val="100"/>
        <c:noMultiLvlLbl val="0"/>
      </c:catAx>
      <c:valAx>
        <c:axId val="52816504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61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2020-05-01</a:t>
            </a:r>
          </a:p>
        </c:rich>
      </c:tx>
      <c:layout>
        <c:manualLayout>
          <c:xMode val="edge"/>
          <c:yMode val="edge"/>
          <c:x val="0.1458888888888889"/>
          <c:y val="3.2407407407407406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'May 1, 2020'!$B$2:$B$3</c:f>
              <c:strCache>
                <c:ptCount val="2"/>
                <c:pt idx="0">
                  <c:v>Total Hospital</c:v>
                </c:pt>
                <c:pt idx="1">
                  <c:v>2698</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1,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1, 2020'!$B$4:$B$16</c:f>
              <c:numCache>
                <c:formatCode>General</c:formatCode>
                <c:ptCount val="13"/>
                <c:pt idx="0">
                  <c:v>82</c:v>
                </c:pt>
                <c:pt idx="1">
                  <c:v>90</c:v>
                </c:pt>
                <c:pt idx="2">
                  <c:v>999</c:v>
                </c:pt>
                <c:pt idx="3">
                  <c:v>1498</c:v>
                </c:pt>
                <c:pt idx="4">
                  <c:v>10</c:v>
                </c:pt>
                <c:pt idx="5">
                  <c:v>0</c:v>
                </c:pt>
                <c:pt idx="6">
                  <c:v>5</c:v>
                </c:pt>
                <c:pt idx="7">
                  <c:v>0</c:v>
                </c:pt>
                <c:pt idx="8">
                  <c:v>10</c:v>
                </c:pt>
                <c:pt idx="9">
                  <c:v>4</c:v>
                </c:pt>
                <c:pt idx="10">
                  <c:v>0</c:v>
                </c:pt>
                <c:pt idx="11">
                  <c:v>0</c:v>
                </c:pt>
                <c:pt idx="12">
                  <c:v>0</c:v>
                </c:pt>
              </c:numCache>
            </c:numRef>
          </c:val>
          <c:extLst>
            <c:ext xmlns:c16="http://schemas.microsoft.com/office/drawing/2014/chart" uri="{C3380CC4-5D6E-409C-BE32-E72D297353CC}">
              <c16:uniqueId val="{00000000-9F60-C64F-A61B-B8C5C6E338C4}"/>
            </c:ext>
          </c:extLst>
        </c:ser>
        <c:ser>
          <c:idx val="1"/>
          <c:order val="1"/>
          <c:tx>
            <c:strRef>
              <c:f>'May 1, 2020'!$C$2:$C$3</c:f>
              <c:strCache>
                <c:ptCount val="2"/>
                <c:pt idx="0">
                  <c:v>Total ICU</c:v>
                </c:pt>
                <c:pt idx="1">
                  <c:v>510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60-C64F-A61B-B8C5C6E338C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1,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1, 2020'!$C$4:$C$16</c:f>
              <c:numCache>
                <c:formatCode>General</c:formatCode>
                <c:ptCount val="13"/>
                <c:pt idx="0">
                  <c:v>30</c:v>
                </c:pt>
                <c:pt idx="1">
                  <c:v>22</c:v>
                </c:pt>
                <c:pt idx="2">
                  <c:v>233</c:v>
                </c:pt>
                <c:pt idx="3">
                  <c:v>218</c:v>
                </c:pt>
                <c:pt idx="4">
                  <c:v>3</c:v>
                </c:pt>
                <c:pt idx="5">
                  <c:v>0</c:v>
                </c:pt>
                <c:pt idx="6">
                  <c:v>0</c:v>
                </c:pt>
                <c:pt idx="7">
                  <c:v>0</c:v>
                </c:pt>
                <c:pt idx="8">
                  <c:v>3</c:v>
                </c:pt>
                <c:pt idx="9">
                  <c:v>1</c:v>
                </c:pt>
                <c:pt idx="10">
                  <c:v>0</c:v>
                </c:pt>
                <c:pt idx="11">
                  <c:v>0</c:v>
                </c:pt>
                <c:pt idx="12">
                  <c:v>0</c:v>
                </c:pt>
              </c:numCache>
            </c:numRef>
          </c:val>
          <c:extLst>
            <c:ext xmlns:c16="http://schemas.microsoft.com/office/drawing/2014/chart" uri="{C3380CC4-5D6E-409C-BE32-E72D297353CC}">
              <c16:uniqueId val="{00000002-9F60-C64F-A61B-B8C5C6E338C4}"/>
            </c:ext>
          </c:extLst>
        </c:ser>
        <c:dLbls>
          <c:dLblPos val="outEnd"/>
          <c:showLegendKey val="0"/>
          <c:showVal val="1"/>
          <c:showCatName val="0"/>
          <c:showSerName val="0"/>
          <c:showPercent val="0"/>
          <c:showBubbleSize val="0"/>
        </c:dLbls>
        <c:gapWidth val="100"/>
        <c:overlap val="-24"/>
        <c:axId val="528172496"/>
        <c:axId val="528166224"/>
      </c:barChart>
      <c:catAx>
        <c:axId val="52817249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66224"/>
        <c:crosses val="autoZero"/>
        <c:auto val="1"/>
        <c:lblAlgn val="ctr"/>
        <c:lblOffset val="100"/>
        <c:noMultiLvlLbl val="0"/>
      </c:catAx>
      <c:valAx>
        <c:axId val="52816622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72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2020-04-29</a:t>
            </a:r>
          </a:p>
        </c:rich>
      </c:tx>
      <c:layout>
        <c:manualLayout>
          <c:xMode val="edge"/>
          <c:yMode val="edge"/>
          <c:x val="0.1458888888888889"/>
          <c:y val="3.2407407407407406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'April 29, 2020'!$B$2:$B$3</c:f>
              <c:strCache>
                <c:ptCount val="2"/>
                <c:pt idx="0">
                  <c:v>Total Hospital</c:v>
                </c:pt>
                <c:pt idx="1">
                  <c:v>2572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29,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29, 2020'!$B$4:$B$16</c:f>
              <c:numCache>
                <c:formatCode>General</c:formatCode>
                <c:ptCount val="13"/>
                <c:pt idx="0">
                  <c:v>94</c:v>
                </c:pt>
                <c:pt idx="1">
                  <c:v>82</c:v>
                </c:pt>
                <c:pt idx="2">
                  <c:v>957</c:v>
                </c:pt>
                <c:pt idx="3">
                  <c:v>1408</c:v>
                </c:pt>
                <c:pt idx="4">
                  <c:v>11</c:v>
                </c:pt>
                <c:pt idx="5">
                  <c:v>1</c:v>
                </c:pt>
                <c:pt idx="6">
                  <c:v>7</c:v>
                </c:pt>
                <c:pt idx="7">
                  <c:v>0</c:v>
                </c:pt>
                <c:pt idx="8">
                  <c:v>8</c:v>
                </c:pt>
                <c:pt idx="9">
                  <c:v>4</c:v>
                </c:pt>
                <c:pt idx="10">
                  <c:v>0</c:v>
                </c:pt>
                <c:pt idx="11">
                  <c:v>0</c:v>
                </c:pt>
                <c:pt idx="12">
                  <c:v>0</c:v>
                </c:pt>
              </c:numCache>
            </c:numRef>
          </c:val>
          <c:extLst>
            <c:ext xmlns:c16="http://schemas.microsoft.com/office/drawing/2014/chart" uri="{C3380CC4-5D6E-409C-BE32-E72D297353CC}">
              <c16:uniqueId val="{00000000-0D50-4044-8681-C5F62D57E4DC}"/>
            </c:ext>
          </c:extLst>
        </c:ser>
        <c:ser>
          <c:idx val="1"/>
          <c:order val="1"/>
          <c:tx>
            <c:strRef>
              <c:f>'April 29, 2020'!$C$2:$C$3</c:f>
              <c:strCache>
                <c:ptCount val="2"/>
                <c:pt idx="0">
                  <c:v>Total ICU</c:v>
                </c:pt>
                <c:pt idx="1">
                  <c:v>523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50-4044-8681-C5F62D57E4D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29,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29, 2020'!$C$4:$C$16</c:f>
              <c:numCache>
                <c:formatCode>General</c:formatCode>
                <c:ptCount val="13"/>
                <c:pt idx="0">
                  <c:v>37</c:v>
                </c:pt>
                <c:pt idx="1">
                  <c:v>21</c:v>
                </c:pt>
                <c:pt idx="2">
                  <c:v>239</c:v>
                </c:pt>
                <c:pt idx="3">
                  <c:v>217</c:v>
                </c:pt>
                <c:pt idx="4">
                  <c:v>3</c:v>
                </c:pt>
                <c:pt idx="5">
                  <c:v>0</c:v>
                </c:pt>
                <c:pt idx="6">
                  <c:v>2</c:v>
                </c:pt>
                <c:pt idx="7">
                  <c:v>0</c:v>
                </c:pt>
                <c:pt idx="8">
                  <c:v>2</c:v>
                </c:pt>
                <c:pt idx="9">
                  <c:v>2</c:v>
                </c:pt>
                <c:pt idx="10">
                  <c:v>0</c:v>
                </c:pt>
                <c:pt idx="11">
                  <c:v>0</c:v>
                </c:pt>
                <c:pt idx="12">
                  <c:v>0</c:v>
                </c:pt>
              </c:numCache>
            </c:numRef>
          </c:val>
          <c:extLst>
            <c:ext xmlns:c16="http://schemas.microsoft.com/office/drawing/2014/chart" uri="{C3380CC4-5D6E-409C-BE32-E72D297353CC}">
              <c16:uniqueId val="{00000002-0D50-4044-8681-C5F62D57E4DC}"/>
            </c:ext>
          </c:extLst>
        </c:ser>
        <c:dLbls>
          <c:dLblPos val="outEnd"/>
          <c:showLegendKey val="0"/>
          <c:showVal val="1"/>
          <c:showCatName val="0"/>
          <c:showSerName val="0"/>
          <c:showPercent val="0"/>
          <c:showBubbleSize val="0"/>
        </c:dLbls>
        <c:gapWidth val="100"/>
        <c:overlap val="-24"/>
        <c:axId val="528169752"/>
        <c:axId val="528161912"/>
      </c:barChart>
      <c:catAx>
        <c:axId val="52816975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61912"/>
        <c:crosses val="autoZero"/>
        <c:auto val="1"/>
        <c:lblAlgn val="ctr"/>
        <c:lblOffset val="100"/>
        <c:noMultiLvlLbl val="0"/>
      </c:catAx>
      <c:valAx>
        <c:axId val="52816191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69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2020-04-27</a:t>
            </a:r>
          </a:p>
        </c:rich>
      </c:tx>
      <c:layout>
        <c:manualLayout>
          <c:xMode val="edge"/>
          <c:yMode val="edge"/>
          <c:x val="0.1458888888888889"/>
          <c:y val="3.2407407407407406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'April 27, 2020'!$B$2:$B$3</c:f>
              <c:strCache>
                <c:ptCount val="2"/>
                <c:pt idx="0">
                  <c:v>Total Hospital</c:v>
                </c:pt>
                <c:pt idx="1">
                  <c:v>2454</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27,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27, 2020'!$B$4:$B$16</c:f>
              <c:numCache>
                <c:formatCode>General</c:formatCode>
                <c:ptCount val="13"/>
                <c:pt idx="0">
                  <c:v>96</c:v>
                </c:pt>
                <c:pt idx="1">
                  <c:v>83</c:v>
                </c:pt>
                <c:pt idx="2">
                  <c:v>938</c:v>
                </c:pt>
                <c:pt idx="3">
                  <c:v>1303</c:v>
                </c:pt>
                <c:pt idx="4">
                  <c:v>12</c:v>
                </c:pt>
                <c:pt idx="5">
                  <c:v>4</c:v>
                </c:pt>
                <c:pt idx="6">
                  <c:v>8</c:v>
                </c:pt>
                <c:pt idx="7">
                  <c:v>0</c:v>
                </c:pt>
                <c:pt idx="8">
                  <c:v>5</c:v>
                </c:pt>
                <c:pt idx="9">
                  <c:v>5</c:v>
                </c:pt>
                <c:pt idx="10">
                  <c:v>0</c:v>
                </c:pt>
                <c:pt idx="11">
                  <c:v>0</c:v>
                </c:pt>
                <c:pt idx="12">
                  <c:v>0</c:v>
                </c:pt>
              </c:numCache>
            </c:numRef>
          </c:val>
          <c:extLst>
            <c:ext xmlns:c16="http://schemas.microsoft.com/office/drawing/2014/chart" uri="{C3380CC4-5D6E-409C-BE32-E72D297353CC}">
              <c16:uniqueId val="{00000000-E37E-BA4E-8BFF-EAF7599049F4}"/>
            </c:ext>
          </c:extLst>
        </c:ser>
        <c:ser>
          <c:idx val="1"/>
          <c:order val="1"/>
          <c:tx>
            <c:strRef>
              <c:f>'April 27, 2020'!$C$2:$C$3</c:f>
              <c:strCache>
                <c:ptCount val="2"/>
                <c:pt idx="0">
                  <c:v>Total ICU</c:v>
                </c:pt>
                <c:pt idx="1">
                  <c:v>537</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7E-BA4E-8BFF-EAF7599049F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27,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27, 2020'!$C$4:$C$16</c:f>
              <c:numCache>
                <c:formatCode>General</c:formatCode>
                <c:ptCount val="13"/>
                <c:pt idx="0">
                  <c:v>41</c:v>
                </c:pt>
                <c:pt idx="1">
                  <c:v>20</c:v>
                </c:pt>
                <c:pt idx="2">
                  <c:v>252</c:v>
                </c:pt>
                <c:pt idx="3">
                  <c:v>215</c:v>
                </c:pt>
                <c:pt idx="4">
                  <c:v>3</c:v>
                </c:pt>
                <c:pt idx="5">
                  <c:v>0</c:v>
                </c:pt>
                <c:pt idx="6">
                  <c:v>2</c:v>
                </c:pt>
                <c:pt idx="7">
                  <c:v>0</c:v>
                </c:pt>
                <c:pt idx="8">
                  <c:v>2</c:v>
                </c:pt>
                <c:pt idx="9">
                  <c:v>2</c:v>
                </c:pt>
                <c:pt idx="10">
                  <c:v>0</c:v>
                </c:pt>
                <c:pt idx="11">
                  <c:v>0</c:v>
                </c:pt>
                <c:pt idx="12">
                  <c:v>0</c:v>
                </c:pt>
              </c:numCache>
            </c:numRef>
          </c:val>
          <c:extLst>
            <c:ext xmlns:c16="http://schemas.microsoft.com/office/drawing/2014/chart" uri="{C3380CC4-5D6E-409C-BE32-E72D297353CC}">
              <c16:uniqueId val="{00000002-E37E-BA4E-8BFF-EAF7599049F4}"/>
            </c:ext>
          </c:extLst>
        </c:ser>
        <c:dLbls>
          <c:dLblPos val="outEnd"/>
          <c:showLegendKey val="0"/>
          <c:showVal val="1"/>
          <c:showCatName val="0"/>
          <c:showSerName val="0"/>
          <c:showPercent val="0"/>
          <c:showBubbleSize val="0"/>
        </c:dLbls>
        <c:gapWidth val="100"/>
        <c:overlap val="-24"/>
        <c:axId val="528165440"/>
        <c:axId val="528167792"/>
      </c:barChart>
      <c:catAx>
        <c:axId val="52816544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67792"/>
        <c:crosses val="autoZero"/>
        <c:auto val="1"/>
        <c:lblAlgn val="ctr"/>
        <c:lblOffset val="100"/>
        <c:noMultiLvlLbl val="0"/>
      </c:catAx>
      <c:valAx>
        <c:axId val="52816779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65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2020-04-24</a:t>
            </a:r>
          </a:p>
        </c:rich>
      </c:tx>
      <c:layout>
        <c:manualLayout>
          <c:xMode val="edge"/>
          <c:yMode val="edge"/>
          <c:x val="0.1458888888888889"/>
          <c:y val="3.2407407407407406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'April 24, 2020'!$B$2:$B$3</c:f>
              <c:strCache>
                <c:ptCount val="2"/>
                <c:pt idx="0">
                  <c:v>Total Hospital</c:v>
                </c:pt>
                <c:pt idx="1">
                  <c:v>2299</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24,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24, 2020'!$B$4:$B$16</c:f>
              <c:numCache>
                <c:formatCode>General</c:formatCode>
                <c:ptCount val="13"/>
                <c:pt idx="0">
                  <c:v>103</c:v>
                </c:pt>
                <c:pt idx="1">
                  <c:v>72</c:v>
                </c:pt>
                <c:pt idx="2">
                  <c:v>887</c:v>
                </c:pt>
                <c:pt idx="3">
                  <c:v>1204</c:v>
                </c:pt>
                <c:pt idx="4">
                  <c:v>10</c:v>
                </c:pt>
                <c:pt idx="5">
                  <c:v>5</c:v>
                </c:pt>
                <c:pt idx="6">
                  <c:v>7</c:v>
                </c:pt>
                <c:pt idx="7">
                  <c:v>0</c:v>
                </c:pt>
                <c:pt idx="8">
                  <c:v>6</c:v>
                </c:pt>
                <c:pt idx="9">
                  <c:v>5</c:v>
                </c:pt>
                <c:pt idx="10">
                  <c:v>0</c:v>
                </c:pt>
                <c:pt idx="11">
                  <c:v>0</c:v>
                </c:pt>
                <c:pt idx="12">
                  <c:v>0</c:v>
                </c:pt>
              </c:numCache>
            </c:numRef>
          </c:val>
          <c:extLst>
            <c:ext xmlns:c16="http://schemas.microsoft.com/office/drawing/2014/chart" uri="{C3380CC4-5D6E-409C-BE32-E72D297353CC}">
              <c16:uniqueId val="{00000000-CA1D-0440-AAFD-E97F8CBE9ADF}"/>
            </c:ext>
          </c:extLst>
        </c:ser>
        <c:ser>
          <c:idx val="1"/>
          <c:order val="1"/>
          <c:tx>
            <c:strRef>
              <c:f>'April 24, 2020'!$C$2:$C$3</c:f>
              <c:strCache>
                <c:ptCount val="2"/>
                <c:pt idx="0">
                  <c:v>Total ICU</c:v>
                </c:pt>
                <c:pt idx="1">
                  <c:v>512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A1D-0440-AAFD-E97F8CBE9AD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24,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24, 2020'!$C$4:$C$16</c:f>
              <c:numCache>
                <c:formatCode>General</c:formatCode>
                <c:ptCount val="13"/>
                <c:pt idx="0">
                  <c:v>44</c:v>
                </c:pt>
                <c:pt idx="1">
                  <c:v>18</c:v>
                </c:pt>
                <c:pt idx="2">
                  <c:v>233</c:v>
                </c:pt>
                <c:pt idx="3">
                  <c:v>207</c:v>
                </c:pt>
                <c:pt idx="4">
                  <c:v>4</c:v>
                </c:pt>
                <c:pt idx="5">
                  <c:v>1</c:v>
                </c:pt>
                <c:pt idx="6">
                  <c:v>2</c:v>
                </c:pt>
                <c:pt idx="7">
                  <c:v>0</c:v>
                </c:pt>
                <c:pt idx="8">
                  <c:v>1</c:v>
                </c:pt>
                <c:pt idx="9">
                  <c:v>2</c:v>
                </c:pt>
                <c:pt idx="10">
                  <c:v>0</c:v>
                </c:pt>
                <c:pt idx="11">
                  <c:v>0</c:v>
                </c:pt>
                <c:pt idx="12">
                  <c:v>0</c:v>
                </c:pt>
              </c:numCache>
            </c:numRef>
          </c:val>
          <c:extLst>
            <c:ext xmlns:c16="http://schemas.microsoft.com/office/drawing/2014/chart" uri="{C3380CC4-5D6E-409C-BE32-E72D297353CC}">
              <c16:uniqueId val="{00000002-CA1D-0440-AAFD-E97F8CBE9ADF}"/>
            </c:ext>
          </c:extLst>
        </c:ser>
        <c:dLbls>
          <c:dLblPos val="outEnd"/>
          <c:showLegendKey val="0"/>
          <c:showVal val="1"/>
          <c:showCatName val="0"/>
          <c:showSerName val="0"/>
          <c:showPercent val="0"/>
          <c:showBubbleSize val="0"/>
        </c:dLbls>
        <c:gapWidth val="100"/>
        <c:overlap val="-24"/>
        <c:axId val="528163088"/>
        <c:axId val="528163480"/>
      </c:barChart>
      <c:catAx>
        <c:axId val="52816308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63480"/>
        <c:crosses val="autoZero"/>
        <c:auto val="1"/>
        <c:lblAlgn val="ctr"/>
        <c:lblOffset val="100"/>
        <c:noMultiLvlLbl val="0"/>
      </c:catAx>
      <c:valAx>
        <c:axId val="5281634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630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2020-04-22</a:t>
            </a:r>
          </a:p>
        </c:rich>
      </c:tx>
      <c:layout>
        <c:manualLayout>
          <c:xMode val="edge"/>
          <c:yMode val="edge"/>
          <c:x val="0.1458888888888889"/>
          <c:y val="3.2407407407407406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'April 22, 2020'!$B$2:$B$3</c:f>
              <c:strCache>
                <c:ptCount val="2"/>
                <c:pt idx="0">
                  <c:v>Total Hospital</c:v>
                </c:pt>
                <c:pt idx="1">
                  <c:v>2089</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22,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22, 2020'!$B$4:$B$16</c:f>
              <c:numCache>
                <c:formatCode>General</c:formatCode>
                <c:ptCount val="13"/>
                <c:pt idx="0">
                  <c:v>109</c:v>
                </c:pt>
                <c:pt idx="1">
                  <c:v>64</c:v>
                </c:pt>
                <c:pt idx="2">
                  <c:v>859</c:v>
                </c:pt>
                <c:pt idx="3">
                  <c:v>1023</c:v>
                </c:pt>
                <c:pt idx="4">
                  <c:v>11</c:v>
                </c:pt>
                <c:pt idx="5">
                  <c:v>5</c:v>
                </c:pt>
                <c:pt idx="6">
                  <c:v>7</c:v>
                </c:pt>
                <c:pt idx="7">
                  <c:v>0</c:v>
                </c:pt>
                <c:pt idx="8">
                  <c:v>5</c:v>
                </c:pt>
                <c:pt idx="9">
                  <c:v>6</c:v>
                </c:pt>
                <c:pt idx="10">
                  <c:v>0</c:v>
                </c:pt>
                <c:pt idx="11">
                  <c:v>0</c:v>
                </c:pt>
                <c:pt idx="12">
                  <c:v>0</c:v>
                </c:pt>
              </c:numCache>
            </c:numRef>
          </c:val>
          <c:extLst>
            <c:ext xmlns:c16="http://schemas.microsoft.com/office/drawing/2014/chart" uri="{C3380CC4-5D6E-409C-BE32-E72D297353CC}">
              <c16:uniqueId val="{00000000-C90F-3944-A667-DDDD93AE2F00}"/>
            </c:ext>
          </c:extLst>
        </c:ser>
        <c:ser>
          <c:idx val="1"/>
          <c:order val="1"/>
          <c:tx>
            <c:strRef>
              <c:f>'April 22, 2020'!$C$2:$C$3</c:f>
              <c:strCache>
                <c:ptCount val="2"/>
                <c:pt idx="0">
                  <c:v>Total ICU</c:v>
                </c:pt>
                <c:pt idx="1">
                  <c:v>531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0F-3944-A667-DDDD93AE2F0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22,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22, 2020'!$C$4:$C$16</c:f>
              <c:numCache>
                <c:formatCode>General</c:formatCode>
                <c:ptCount val="13"/>
                <c:pt idx="0">
                  <c:v>51</c:v>
                </c:pt>
                <c:pt idx="1">
                  <c:v>18</c:v>
                </c:pt>
                <c:pt idx="2">
                  <c:v>250</c:v>
                </c:pt>
                <c:pt idx="3">
                  <c:v>201</c:v>
                </c:pt>
                <c:pt idx="4">
                  <c:v>3</c:v>
                </c:pt>
                <c:pt idx="5">
                  <c:v>1</c:v>
                </c:pt>
                <c:pt idx="6">
                  <c:v>4</c:v>
                </c:pt>
                <c:pt idx="7">
                  <c:v>0</c:v>
                </c:pt>
                <c:pt idx="8">
                  <c:v>1</c:v>
                </c:pt>
                <c:pt idx="9">
                  <c:v>2</c:v>
                </c:pt>
                <c:pt idx="10">
                  <c:v>0</c:v>
                </c:pt>
                <c:pt idx="11">
                  <c:v>0</c:v>
                </c:pt>
                <c:pt idx="12">
                  <c:v>0</c:v>
                </c:pt>
              </c:numCache>
            </c:numRef>
          </c:val>
          <c:extLst>
            <c:ext xmlns:c16="http://schemas.microsoft.com/office/drawing/2014/chart" uri="{C3380CC4-5D6E-409C-BE32-E72D297353CC}">
              <c16:uniqueId val="{00000002-C90F-3944-A667-DDDD93AE2F00}"/>
            </c:ext>
          </c:extLst>
        </c:ser>
        <c:dLbls>
          <c:dLblPos val="outEnd"/>
          <c:showLegendKey val="0"/>
          <c:showVal val="1"/>
          <c:showCatName val="0"/>
          <c:showSerName val="0"/>
          <c:showPercent val="0"/>
          <c:showBubbleSize val="0"/>
        </c:dLbls>
        <c:gapWidth val="100"/>
        <c:overlap val="-24"/>
        <c:axId val="528165832"/>
        <c:axId val="528163872"/>
      </c:barChart>
      <c:catAx>
        <c:axId val="52816583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63872"/>
        <c:crosses val="autoZero"/>
        <c:auto val="1"/>
        <c:lblAlgn val="ctr"/>
        <c:lblOffset val="100"/>
        <c:noMultiLvlLbl val="0"/>
      </c:catAx>
      <c:valAx>
        <c:axId val="52816387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658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2020-04-20</a:t>
            </a:r>
          </a:p>
        </c:rich>
      </c:tx>
      <c:layout>
        <c:manualLayout>
          <c:xMode val="edge"/>
          <c:yMode val="edge"/>
          <c:x val="0.1458888888888889"/>
          <c:y val="3.2407407407407406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'April 20, 2020'!$B$2:$B$3</c:f>
              <c:strCache>
                <c:ptCount val="2"/>
                <c:pt idx="0">
                  <c:v>Total Hospital</c:v>
                </c:pt>
                <c:pt idx="1">
                  <c:v>1943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20,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20, 2020'!$B$4:$B$16</c:f>
              <c:numCache>
                <c:formatCode>General</c:formatCode>
                <c:ptCount val="13"/>
                <c:pt idx="0">
                  <c:v>115</c:v>
                </c:pt>
                <c:pt idx="1">
                  <c:v>65</c:v>
                </c:pt>
                <c:pt idx="2">
                  <c:v>809</c:v>
                </c:pt>
                <c:pt idx="3">
                  <c:v>919</c:v>
                </c:pt>
                <c:pt idx="4">
                  <c:v>12</c:v>
                </c:pt>
                <c:pt idx="5">
                  <c:v>5</c:v>
                </c:pt>
                <c:pt idx="6">
                  <c:v>8</c:v>
                </c:pt>
                <c:pt idx="7">
                  <c:v>0</c:v>
                </c:pt>
                <c:pt idx="8">
                  <c:v>4</c:v>
                </c:pt>
                <c:pt idx="9">
                  <c:v>6</c:v>
                </c:pt>
                <c:pt idx="10">
                  <c:v>0</c:v>
                </c:pt>
                <c:pt idx="11">
                  <c:v>0</c:v>
                </c:pt>
                <c:pt idx="12">
                  <c:v>0</c:v>
                </c:pt>
              </c:numCache>
            </c:numRef>
          </c:val>
          <c:extLst>
            <c:ext xmlns:c16="http://schemas.microsoft.com/office/drawing/2014/chart" uri="{C3380CC4-5D6E-409C-BE32-E72D297353CC}">
              <c16:uniqueId val="{00000000-7F1A-0646-84B9-8A88158C6E94}"/>
            </c:ext>
          </c:extLst>
        </c:ser>
        <c:ser>
          <c:idx val="1"/>
          <c:order val="1"/>
          <c:tx>
            <c:strRef>
              <c:f>'April 20, 2020'!$C$2:$C$3</c:f>
              <c:strCache>
                <c:ptCount val="2"/>
                <c:pt idx="0">
                  <c:v>Total ICU</c:v>
                </c:pt>
                <c:pt idx="1">
                  <c:v>516</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F1A-0646-84B9-8A88158C6E9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20,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20, 2020'!$C$4:$C$16</c:f>
              <c:numCache>
                <c:formatCode>General</c:formatCode>
                <c:ptCount val="13"/>
                <c:pt idx="0">
                  <c:v>54</c:v>
                </c:pt>
                <c:pt idx="1">
                  <c:v>16</c:v>
                </c:pt>
                <c:pt idx="2">
                  <c:v>247</c:v>
                </c:pt>
                <c:pt idx="3">
                  <c:v>183</c:v>
                </c:pt>
                <c:pt idx="4">
                  <c:v>4</c:v>
                </c:pt>
                <c:pt idx="5">
                  <c:v>3</c:v>
                </c:pt>
                <c:pt idx="6">
                  <c:v>5</c:v>
                </c:pt>
                <c:pt idx="7">
                  <c:v>0</c:v>
                </c:pt>
                <c:pt idx="8">
                  <c:v>1</c:v>
                </c:pt>
                <c:pt idx="9">
                  <c:v>3</c:v>
                </c:pt>
                <c:pt idx="10">
                  <c:v>0</c:v>
                </c:pt>
                <c:pt idx="11">
                  <c:v>0</c:v>
                </c:pt>
                <c:pt idx="12">
                  <c:v>0</c:v>
                </c:pt>
              </c:numCache>
            </c:numRef>
          </c:val>
          <c:extLst>
            <c:ext xmlns:c16="http://schemas.microsoft.com/office/drawing/2014/chart" uri="{C3380CC4-5D6E-409C-BE32-E72D297353CC}">
              <c16:uniqueId val="{00000002-7F1A-0646-84B9-8A88158C6E94}"/>
            </c:ext>
          </c:extLst>
        </c:ser>
        <c:dLbls>
          <c:dLblPos val="outEnd"/>
          <c:showLegendKey val="0"/>
          <c:showVal val="1"/>
          <c:showCatName val="0"/>
          <c:showSerName val="0"/>
          <c:showPercent val="0"/>
          <c:showBubbleSize val="0"/>
        </c:dLbls>
        <c:gapWidth val="100"/>
        <c:overlap val="-24"/>
        <c:axId val="528161520"/>
        <c:axId val="528171320"/>
      </c:barChart>
      <c:catAx>
        <c:axId val="52816152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71320"/>
        <c:crosses val="autoZero"/>
        <c:auto val="1"/>
        <c:lblAlgn val="ctr"/>
        <c:lblOffset val="100"/>
        <c:noMultiLvlLbl val="0"/>
      </c:catAx>
      <c:valAx>
        <c:axId val="52817132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61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2022-03-21</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'March 21, 2022'!$B$2:$B$3</c:f>
              <c:strCache>
                <c:ptCount val="2"/>
                <c:pt idx="0">
                  <c:v>Total Hospital</c:v>
                </c:pt>
                <c:pt idx="1">
                  <c:v>3557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21,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21, 2022'!$B$4:$B$16</c:f>
              <c:numCache>
                <c:formatCode>General</c:formatCode>
                <c:ptCount val="13"/>
                <c:pt idx="0">
                  <c:v>290</c:v>
                </c:pt>
                <c:pt idx="1">
                  <c:v>966</c:v>
                </c:pt>
                <c:pt idx="2" formatCode="0">
                  <c:v>551</c:v>
                </c:pt>
                <c:pt idx="3" formatCode="#,##0">
                  <c:v>1002</c:v>
                </c:pt>
                <c:pt idx="4">
                  <c:v>38</c:v>
                </c:pt>
                <c:pt idx="5">
                  <c:v>99</c:v>
                </c:pt>
                <c:pt idx="6">
                  <c:v>182</c:v>
                </c:pt>
                <c:pt idx="7">
                  <c:v>27</c:v>
                </c:pt>
                <c:pt idx="8">
                  <c:v>299</c:v>
                </c:pt>
                <c:pt idx="9">
                  <c:v>31</c:v>
                </c:pt>
                <c:pt idx="10">
                  <c:v>38</c:v>
                </c:pt>
                <c:pt idx="11">
                  <c:v>1</c:v>
                </c:pt>
                <c:pt idx="12">
                  <c:v>33</c:v>
                </c:pt>
              </c:numCache>
            </c:numRef>
          </c:val>
          <c:extLst>
            <c:ext xmlns:c16="http://schemas.microsoft.com/office/drawing/2014/chart" uri="{C3380CC4-5D6E-409C-BE32-E72D297353CC}">
              <c16:uniqueId val="{00000000-EDA9-447A-B34A-7F5482B615D8}"/>
            </c:ext>
          </c:extLst>
        </c:ser>
        <c:ser>
          <c:idx val="1"/>
          <c:order val="1"/>
          <c:tx>
            <c:strRef>
              <c:f>'March 21, 2022'!$C$2:$C$3</c:f>
              <c:strCache>
                <c:ptCount val="2"/>
                <c:pt idx="0">
                  <c:v>Total ICU</c:v>
                </c:pt>
                <c:pt idx="1">
                  <c:v>409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21,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21, 2022'!$C$4:$C$16</c:f>
              <c:numCache>
                <c:formatCode>General</c:formatCode>
                <c:ptCount val="13"/>
                <c:pt idx="0">
                  <c:v>46</c:v>
                </c:pt>
                <c:pt idx="1">
                  <c:v>62</c:v>
                </c:pt>
                <c:pt idx="2">
                  <c:v>181</c:v>
                </c:pt>
                <c:pt idx="3">
                  <c:v>48</c:v>
                </c:pt>
                <c:pt idx="4">
                  <c:v>12</c:v>
                </c:pt>
                <c:pt idx="5">
                  <c:v>13</c:v>
                </c:pt>
                <c:pt idx="6">
                  <c:v>17</c:v>
                </c:pt>
                <c:pt idx="7">
                  <c:v>0</c:v>
                </c:pt>
                <c:pt idx="8">
                  <c:v>18</c:v>
                </c:pt>
                <c:pt idx="9">
                  <c:v>3</c:v>
                </c:pt>
                <c:pt idx="10">
                  <c:v>9</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56928"/>
        <c:axId val="451753792"/>
      </c:barChart>
      <c:catAx>
        <c:axId val="45175692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53792"/>
        <c:crosses val="autoZero"/>
        <c:auto val="1"/>
        <c:lblAlgn val="ctr"/>
        <c:lblOffset val="100"/>
        <c:noMultiLvlLbl val="0"/>
      </c:catAx>
      <c:valAx>
        <c:axId val="45175379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569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2020-04-16</a:t>
            </a:r>
          </a:p>
        </c:rich>
      </c:tx>
      <c:layout>
        <c:manualLayout>
          <c:xMode val="edge"/>
          <c:yMode val="edge"/>
          <c:x val="0.1458888888888889"/>
          <c:y val="3.2407407407407406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'April 16, 2020'!$B$2:$B$3</c:f>
              <c:strCache>
                <c:ptCount val="2"/>
                <c:pt idx="0">
                  <c:v>Total Hospital</c:v>
                </c:pt>
                <c:pt idx="1">
                  <c:v>1774</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16, 2020'!$A$4:$A$16</c:f>
              <c:strCache>
                <c:ptCount val="13"/>
                <c:pt idx="0">
                  <c:v>BC</c:v>
                </c:pt>
                <c:pt idx="1">
                  <c:v>AB</c:v>
                </c:pt>
                <c:pt idx="2">
                  <c:v>SK</c:v>
                </c:pt>
                <c:pt idx="3">
                  <c:v>QC</c:v>
                </c:pt>
                <c:pt idx="4">
                  <c:v>NS</c:v>
                </c:pt>
                <c:pt idx="5">
                  <c:v>NB</c:v>
                </c:pt>
                <c:pt idx="6">
                  <c:v>MB</c:v>
                </c:pt>
                <c:pt idx="7">
                  <c:v>PEI</c:v>
                </c:pt>
                <c:pt idx="8">
                  <c:v>SK</c:v>
                </c:pt>
                <c:pt idx="9">
                  <c:v>NL</c:v>
                </c:pt>
                <c:pt idx="10">
                  <c:v>NT</c:v>
                </c:pt>
                <c:pt idx="11">
                  <c:v>YT</c:v>
                </c:pt>
                <c:pt idx="12">
                  <c:v>NU</c:v>
                </c:pt>
              </c:strCache>
            </c:strRef>
          </c:cat>
          <c:val>
            <c:numRef>
              <c:f>'April 16, 2020'!$B$4:$B$16</c:f>
              <c:numCache>
                <c:formatCode>General</c:formatCode>
                <c:ptCount val="13"/>
                <c:pt idx="0">
                  <c:v>131</c:v>
                </c:pt>
                <c:pt idx="1">
                  <c:v>44</c:v>
                </c:pt>
                <c:pt idx="2">
                  <c:v>795</c:v>
                </c:pt>
                <c:pt idx="3">
                  <c:v>766</c:v>
                </c:pt>
                <c:pt idx="4">
                  <c:v>9</c:v>
                </c:pt>
                <c:pt idx="5">
                  <c:v>5</c:v>
                </c:pt>
                <c:pt idx="6">
                  <c:v>9</c:v>
                </c:pt>
                <c:pt idx="7">
                  <c:v>0</c:v>
                </c:pt>
                <c:pt idx="8">
                  <c:v>8</c:v>
                </c:pt>
                <c:pt idx="9">
                  <c:v>7</c:v>
                </c:pt>
                <c:pt idx="10">
                  <c:v>0</c:v>
                </c:pt>
                <c:pt idx="11">
                  <c:v>0</c:v>
                </c:pt>
                <c:pt idx="12">
                  <c:v>0</c:v>
                </c:pt>
              </c:numCache>
            </c:numRef>
          </c:val>
          <c:extLst>
            <c:ext xmlns:c16="http://schemas.microsoft.com/office/drawing/2014/chart" uri="{C3380CC4-5D6E-409C-BE32-E72D297353CC}">
              <c16:uniqueId val="{00000000-6BE4-E24E-989D-A930089A8B9E}"/>
            </c:ext>
          </c:extLst>
        </c:ser>
        <c:ser>
          <c:idx val="1"/>
          <c:order val="1"/>
          <c:tx>
            <c:strRef>
              <c:f>'April 16, 2020'!$C$2:$C$3</c:f>
              <c:strCache>
                <c:ptCount val="2"/>
                <c:pt idx="0">
                  <c:v>Total ICU</c:v>
                </c:pt>
                <c:pt idx="1">
                  <c:v>557</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BE4-E24E-989D-A930089A8B9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16, 2020'!$A$4:$A$16</c:f>
              <c:strCache>
                <c:ptCount val="13"/>
                <c:pt idx="0">
                  <c:v>BC</c:v>
                </c:pt>
                <c:pt idx="1">
                  <c:v>AB</c:v>
                </c:pt>
                <c:pt idx="2">
                  <c:v>SK</c:v>
                </c:pt>
                <c:pt idx="3">
                  <c:v>QC</c:v>
                </c:pt>
                <c:pt idx="4">
                  <c:v>NS</c:v>
                </c:pt>
                <c:pt idx="5">
                  <c:v>NB</c:v>
                </c:pt>
                <c:pt idx="6">
                  <c:v>MB</c:v>
                </c:pt>
                <c:pt idx="7">
                  <c:v>PEI</c:v>
                </c:pt>
                <c:pt idx="8">
                  <c:v>SK</c:v>
                </c:pt>
                <c:pt idx="9">
                  <c:v>NL</c:v>
                </c:pt>
                <c:pt idx="10">
                  <c:v>NT</c:v>
                </c:pt>
                <c:pt idx="11">
                  <c:v>YT</c:v>
                </c:pt>
                <c:pt idx="12">
                  <c:v>NU</c:v>
                </c:pt>
              </c:strCache>
            </c:strRef>
          </c:cat>
          <c:val>
            <c:numRef>
              <c:f>'April 16, 2020'!$C$4:$C$16</c:f>
              <c:numCache>
                <c:formatCode>General</c:formatCode>
                <c:ptCount val="13"/>
                <c:pt idx="0">
                  <c:v>59</c:v>
                </c:pt>
                <c:pt idx="1">
                  <c:v>12</c:v>
                </c:pt>
                <c:pt idx="2">
                  <c:v>254</c:v>
                </c:pt>
                <c:pt idx="3">
                  <c:v>218</c:v>
                </c:pt>
                <c:pt idx="4">
                  <c:v>4</c:v>
                </c:pt>
                <c:pt idx="5">
                  <c:v>3</c:v>
                </c:pt>
                <c:pt idx="6">
                  <c:v>4</c:v>
                </c:pt>
                <c:pt idx="7">
                  <c:v>0</c:v>
                </c:pt>
                <c:pt idx="8">
                  <c:v>0</c:v>
                </c:pt>
                <c:pt idx="9">
                  <c:v>3</c:v>
                </c:pt>
                <c:pt idx="10">
                  <c:v>0</c:v>
                </c:pt>
                <c:pt idx="11">
                  <c:v>0</c:v>
                </c:pt>
                <c:pt idx="12">
                  <c:v>0</c:v>
                </c:pt>
              </c:numCache>
            </c:numRef>
          </c:val>
          <c:extLst>
            <c:ext xmlns:c16="http://schemas.microsoft.com/office/drawing/2014/chart" uri="{C3380CC4-5D6E-409C-BE32-E72D297353CC}">
              <c16:uniqueId val="{00000002-6BE4-E24E-989D-A930089A8B9E}"/>
            </c:ext>
          </c:extLst>
        </c:ser>
        <c:dLbls>
          <c:dLblPos val="outEnd"/>
          <c:showLegendKey val="0"/>
          <c:showVal val="1"/>
          <c:showCatName val="0"/>
          <c:showSerName val="0"/>
          <c:showPercent val="0"/>
          <c:showBubbleSize val="0"/>
        </c:dLbls>
        <c:gapWidth val="100"/>
        <c:overlap val="-24"/>
        <c:axId val="528164656"/>
        <c:axId val="528167008"/>
      </c:barChart>
      <c:catAx>
        <c:axId val="52816465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67008"/>
        <c:crosses val="autoZero"/>
        <c:auto val="1"/>
        <c:lblAlgn val="ctr"/>
        <c:lblOffset val="100"/>
        <c:noMultiLvlLbl val="0"/>
      </c:catAx>
      <c:valAx>
        <c:axId val="52816700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64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2020-04-13</a:t>
            </a:r>
          </a:p>
        </c:rich>
      </c:tx>
      <c:layout>
        <c:manualLayout>
          <c:xMode val="edge"/>
          <c:yMode val="edge"/>
          <c:x val="0.1458888888888889"/>
          <c:y val="3.2407407407407406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'April 13, 2020'!$B$2:$B$3</c:f>
              <c:strCache>
                <c:ptCount val="2"/>
                <c:pt idx="0">
                  <c:v>Total Hospital</c:v>
                </c:pt>
                <c:pt idx="1">
                  <c:v>1609</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13,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13, 2020'!$B$4:$B$16</c:f>
              <c:numCache>
                <c:formatCode>General</c:formatCode>
                <c:ptCount val="13"/>
                <c:pt idx="0">
                  <c:v>134</c:v>
                </c:pt>
                <c:pt idx="1">
                  <c:v>47</c:v>
                </c:pt>
                <c:pt idx="2">
                  <c:v>738</c:v>
                </c:pt>
                <c:pt idx="3">
                  <c:v>653</c:v>
                </c:pt>
                <c:pt idx="4">
                  <c:v>9</c:v>
                </c:pt>
                <c:pt idx="5">
                  <c:v>5</c:v>
                </c:pt>
                <c:pt idx="6">
                  <c:v>8</c:v>
                </c:pt>
                <c:pt idx="7">
                  <c:v>0</c:v>
                </c:pt>
                <c:pt idx="8">
                  <c:v>8</c:v>
                </c:pt>
                <c:pt idx="9">
                  <c:v>7</c:v>
                </c:pt>
                <c:pt idx="10">
                  <c:v>0</c:v>
                </c:pt>
                <c:pt idx="11">
                  <c:v>0</c:v>
                </c:pt>
                <c:pt idx="12">
                  <c:v>0</c:v>
                </c:pt>
              </c:numCache>
            </c:numRef>
          </c:val>
          <c:extLst>
            <c:ext xmlns:c16="http://schemas.microsoft.com/office/drawing/2014/chart" uri="{C3380CC4-5D6E-409C-BE32-E72D297353CC}">
              <c16:uniqueId val="{00000000-0648-D14C-B1C4-E9367203FDD9}"/>
            </c:ext>
          </c:extLst>
        </c:ser>
        <c:ser>
          <c:idx val="1"/>
          <c:order val="1"/>
          <c:tx>
            <c:strRef>
              <c:f>'April 13, 2020'!$C$2:$C$3</c:f>
              <c:strCache>
                <c:ptCount val="2"/>
                <c:pt idx="0">
                  <c:v>Total ICU</c:v>
                </c:pt>
                <c:pt idx="1">
                  <c:v>578</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48-D14C-B1C4-E9367203FDD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13,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13, 2020'!$C$4:$C$16</c:f>
              <c:numCache>
                <c:formatCode>General</c:formatCode>
                <c:ptCount val="13"/>
                <c:pt idx="0">
                  <c:v>63</c:v>
                </c:pt>
                <c:pt idx="1">
                  <c:v>14</c:v>
                </c:pt>
                <c:pt idx="2">
                  <c:v>261</c:v>
                </c:pt>
                <c:pt idx="3">
                  <c:v>226</c:v>
                </c:pt>
                <c:pt idx="4">
                  <c:v>4</c:v>
                </c:pt>
                <c:pt idx="5">
                  <c:v>3</c:v>
                </c:pt>
                <c:pt idx="6">
                  <c:v>4</c:v>
                </c:pt>
                <c:pt idx="7">
                  <c:v>0</c:v>
                </c:pt>
                <c:pt idx="8">
                  <c:v>0</c:v>
                </c:pt>
                <c:pt idx="9">
                  <c:v>3</c:v>
                </c:pt>
                <c:pt idx="10">
                  <c:v>0</c:v>
                </c:pt>
                <c:pt idx="11">
                  <c:v>0</c:v>
                </c:pt>
                <c:pt idx="12">
                  <c:v>0</c:v>
                </c:pt>
              </c:numCache>
            </c:numRef>
          </c:val>
          <c:extLst>
            <c:ext xmlns:c16="http://schemas.microsoft.com/office/drawing/2014/chart" uri="{C3380CC4-5D6E-409C-BE32-E72D297353CC}">
              <c16:uniqueId val="{00000002-0648-D14C-B1C4-E9367203FDD9}"/>
            </c:ext>
          </c:extLst>
        </c:ser>
        <c:dLbls>
          <c:dLblPos val="outEnd"/>
          <c:showLegendKey val="0"/>
          <c:showVal val="1"/>
          <c:showCatName val="0"/>
          <c:showSerName val="0"/>
          <c:showPercent val="0"/>
          <c:showBubbleSize val="0"/>
        </c:dLbls>
        <c:gapWidth val="100"/>
        <c:overlap val="-24"/>
        <c:axId val="528168184"/>
        <c:axId val="528168576"/>
      </c:barChart>
      <c:catAx>
        <c:axId val="52816818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68576"/>
        <c:crosses val="autoZero"/>
        <c:auto val="1"/>
        <c:lblAlgn val="ctr"/>
        <c:lblOffset val="100"/>
        <c:noMultiLvlLbl val="0"/>
      </c:catAx>
      <c:valAx>
        <c:axId val="52816857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68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2022-08-05</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'August 5, 2022'!$B$2:$B$3</c:f>
              <c:strCache>
                <c:ptCount val="2"/>
                <c:pt idx="0">
                  <c:v>Total Hospital</c:v>
                </c:pt>
                <c:pt idx="1">
                  <c:v>5100</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5,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5, 2022'!$B$4:$B$16</c:f>
              <c:numCache>
                <c:formatCode>General</c:formatCode>
                <c:ptCount val="13"/>
                <c:pt idx="0">
                  <c:v>410</c:v>
                </c:pt>
                <c:pt idx="1">
                  <c:v>702</c:v>
                </c:pt>
                <c:pt idx="2" formatCode="0">
                  <c:v>1474</c:v>
                </c:pt>
                <c:pt idx="3" formatCode="#,##0">
                  <c:v>2109</c:v>
                </c:pt>
                <c:pt idx="4">
                  <c:v>41</c:v>
                </c:pt>
                <c:pt idx="5">
                  <c:v>33</c:v>
                </c:pt>
                <c:pt idx="6">
                  <c:v>53</c:v>
                </c:pt>
                <c:pt idx="7">
                  <c:v>27</c:v>
                </c:pt>
                <c:pt idx="8">
                  <c:v>229</c:v>
                </c:pt>
                <c:pt idx="9">
                  <c:v>16</c:v>
                </c:pt>
                <c:pt idx="10">
                  <c:v>4</c:v>
                </c:pt>
                <c:pt idx="11">
                  <c:v>2</c:v>
                </c:pt>
                <c:pt idx="12">
                  <c:v>0</c:v>
                </c:pt>
              </c:numCache>
            </c:numRef>
          </c:val>
          <c:extLst>
            <c:ext xmlns:c16="http://schemas.microsoft.com/office/drawing/2014/chart" uri="{C3380CC4-5D6E-409C-BE32-E72D297353CC}">
              <c16:uniqueId val="{00000000-F388-4606-9126-9D990DD65E36}"/>
            </c:ext>
          </c:extLst>
        </c:ser>
        <c:ser>
          <c:idx val="1"/>
          <c:order val="1"/>
          <c:tx>
            <c:strRef>
              <c:f>'August 5, 2022'!$C$2:$C$3</c:f>
              <c:strCache>
                <c:ptCount val="2"/>
                <c:pt idx="0">
                  <c:v>Total ICU</c:v>
                </c:pt>
                <c:pt idx="1">
                  <c:v>299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88-4606-9126-9D990DD65E3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5,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5, 2022'!$C$4:$C$16</c:f>
              <c:numCache>
                <c:formatCode>General</c:formatCode>
                <c:ptCount val="13"/>
                <c:pt idx="0">
                  <c:v>38</c:v>
                </c:pt>
                <c:pt idx="1">
                  <c:v>28</c:v>
                </c:pt>
                <c:pt idx="2">
                  <c:v>139</c:v>
                </c:pt>
                <c:pt idx="3">
                  <c:v>57</c:v>
                </c:pt>
                <c:pt idx="4">
                  <c:v>8</c:v>
                </c:pt>
                <c:pt idx="5">
                  <c:v>5</c:v>
                </c:pt>
                <c:pt idx="6">
                  <c:v>7</c:v>
                </c:pt>
                <c:pt idx="7">
                  <c:v>0</c:v>
                </c:pt>
                <c:pt idx="8">
                  <c:v>15</c:v>
                </c:pt>
                <c:pt idx="9">
                  <c:v>2</c:v>
                </c:pt>
                <c:pt idx="10">
                  <c:v>0</c:v>
                </c:pt>
                <c:pt idx="11">
                  <c:v>0</c:v>
                </c:pt>
                <c:pt idx="12">
                  <c:v>0</c:v>
                </c:pt>
              </c:numCache>
            </c:numRef>
          </c:val>
          <c:extLst>
            <c:ext xmlns:c16="http://schemas.microsoft.com/office/drawing/2014/chart" uri="{C3380CC4-5D6E-409C-BE32-E72D297353CC}">
              <c16:uniqueId val="{00000002-F388-4606-9126-9D990DD65E36}"/>
            </c:ext>
          </c:extLst>
        </c:ser>
        <c:dLbls>
          <c:dLblPos val="outEnd"/>
          <c:showLegendKey val="0"/>
          <c:showVal val="1"/>
          <c:showCatName val="0"/>
          <c:showSerName val="0"/>
          <c:showPercent val="0"/>
          <c:showBubbleSize val="0"/>
        </c:dLbls>
        <c:gapWidth val="100"/>
        <c:overlap val="-24"/>
        <c:axId val="528188568"/>
        <c:axId val="528192880"/>
      </c:barChart>
      <c:catAx>
        <c:axId val="5281885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92880"/>
        <c:crosses val="autoZero"/>
        <c:auto val="1"/>
        <c:lblAlgn val="ctr"/>
        <c:lblOffset val="100"/>
        <c:noMultiLvlLbl val="0"/>
      </c:catAx>
      <c:valAx>
        <c:axId val="5281928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88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2022-03-18</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'March 18, 2022'!$B$2:$B$3</c:f>
              <c:strCache>
                <c:ptCount val="2"/>
                <c:pt idx="0">
                  <c:v>Total Hospital</c:v>
                </c:pt>
                <c:pt idx="1">
                  <c:v>3626</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18,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18, 2022'!$B$4:$B$16</c:f>
              <c:numCache>
                <c:formatCode>General</c:formatCode>
                <c:ptCount val="13"/>
                <c:pt idx="0">
                  <c:v>298</c:v>
                </c:pt>
                <c:pt idx="1">
                  <c:v>966</c:v>
                </c:pt>
                <c:pt idx="2" formatCode="0">
                  <c:v>615</c:v>
                </c:pt>
                <c:pt idx="3" formatCode="#,##0">
                  <c:v>1021</c:v>
                </c:pt>
                <c:pt idx="4">
                  <c:v>38</c:v>
                </c:pt>
                <c:pt idx="5">
                  <c:v>99</c:v>
                </c:pt>
                <c:pt idx="6">
                  <c:v>164</c:v>
                </c:pt>
                <c:pt idx="7">
                  <c:v>27</c:v>
                </c:pt>
                <c:pt idx="8">
                  <c:v>299</c:v>
                </c:pt>
                <c:pt idx="9">
                  <c:v>27</c:v>
                </c:pt>
                <c:pt idx="10">
                  <c:v>38</c:v>
                </c:pt>
                <c:pt idx="11">
                  <c:v>1</c:v>
                </c:pt>
                <c:pt idx="12">
                  <c:v>33</c:v>
                </c:pt>
              </c:numCache>
            </c:numRef>
          </c:val>
          <c:extLst>
            <c:ext xmlns:c16="http://schemas.microsoft.com/office/drawing/2014/chart" uri="{C3380CC4-5D6E-409C-BE32-E72D297353CC}">
              <c16:uniqueId val="{00000000-EDA9-447A-B34A-7F5482B615D8}"/>
            </c:ext>
          </c:extLst>
        </c:ser>
        <c:ser>
          <c:idx val="1"/>
          <c:order val="1"/>
          <c:tx>
            <c:strRef>
              <c:f>'March 18, 2022'!$C$2:$C$3</c:f>
              <c:strCache>
                <c:ptCount val="2"/>
                <c:pt idx="0">
                  <c:v>Total ICU</c:v>
                </c:pt>
                <c:pt idx="1">
                  <c:v>417</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18,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18, 2022'!$C$4:$C$16</c:f>
              <c:numCache>
                <c:formatCode>General</c:formatCode>
                <c:ptCount val="13"/>
                <c:pt idx="0">
                  <c:v>49</c:v>
                </c:pt>
                <c:pt idx="1">
                  <c:v>62</c:v>
                </c:pt>
                <c:pt idx="2">
                  <c:v>193</c:v>
                </c:pt>
                <c:pt idx="3">
                  <c:v>45</c:v>
                </c:pt>
                <c:pt idx="4">
                  <c:v>12</c:v>
                </c:pt>
                <c:pt idx="5">
                  <c:v>13</c:v>
                </c:pt>
                <c:pt idx="6">
                  <c:v>13</c:v>
                </c:pt>
                <c:pt idx="7">
                  <c:v>0</c:v>
                </c:pt>
                <c:pt idx="8">
                  <c:v>18</c:v>
                </c:pt>
                <c:pt idx="9">
                  <c:v>3</c:v>
                </c:pt>
                <c:pt idx="10">
                  <c:v>9</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56144"/>
        <c:axId val="451759672"/>
      </c:barChart>
      <c:catAx>
        <c:axId val="45175614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59672"/>
        <c:crosses val="autoZero"/>
        <c:auto val="1"/>
        <c:lblAlgn val="ctr"/>
        <c:lblOffset val="100"/>
        <c:noMultiLvlLbl val="0"/>
      </c:catAx>
      <c:valAx>
        <c:axId val="45175967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561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2022-03-16</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'March 16, 2022'!$B$2:$B$3</c:f>
              <c:strCache>
                <c:ptCount val="2"/>
                <c:pt idx="0">
                  <c:v>Total Hospital</c:v>
                </c:pt>
                <c:pt idx="1">
                  <c:v>3819</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16,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16, 2022'!$B$4:$B$16</c:f>
              <c:numCache>
                <c:formatCode>General</c:formatCode>
                <c:ptCount val="13"/>
                <c:pt idx="0">
                  <c:v>345</c:v>
                </c:pt>
                <c:pt idx="1">
                  <c:v>1001</c:v>
                </c:pt>
                <c:pt idx="2" formatCode="0">
                  <c:v>649</c:v>
                </c:pt>
                <c:pt idx="3" formatCode="#,##0">
                  <c:v>1073</c:v>
                </c:pt>
                <c:pt idx="4">
                  <c:v>50</c:v>
                </c:pt>
                <c:pt idx="5">
                  <c:v>99</c:v>
                </c:pt>
                <c:pt idx="6">
                  <c:v>152</c:v>
                </c:pt>
                <c:pt idx="7">
                  <c:v>27</c:v>
                </c:pt>
                <c:pt idx="8">
                  <c:v>339</c:v>
                </c:pt>
                <c:pt idx="9">
                  <c:v>22</c:v>
                </c:pt>
                <c:pt idx="10">
                  <c:v>29</c:v>
                </c:pt>
                <c:pt idx="11">
                  <c:v>0</c:v>
                </c:pt>
                <c:pt idx="12">
                  <c:v>33</c:v>
                </c:pt>
              </c:numCache>
            </c:numRef>
          </c:val>
          <c:extLst>
            <c:ext xmlns:c16="http://schemas.microsoft.com/office/drawing/2014/chart" uri="{C3380CC4-5D6E-409C-BE32-E72D297353CC}">
              <c16:uniqueId val="{00000000-EDA9-447A-B34A-7F5482B615D8}"/>
            </c:ext>
          </c:extLst>
        </c:ser>
        <c:ser>
          <c:idx val="1"/>
          <c:order val="1"/>
          <c:tx>
            <c:strRef>
              <c:f>'March 16, 2022'!$C$2:$C$3</c:f>
              <c:strCache>
                <c:ptCount val="2"/>
                <c:pt idx="0">
                  <c:v>Total ICU</c:v>
                </c:pt>
                <c:pt idx="1">
                  <c:v>437</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16,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16, 2022'!$C$4:$C$16</c:f>
              <c:numCache>
                <c:formatCode>General</c:formatCode>
                <c:ptCount val="13"/>
                <c:pt idx="0">
                  <c:v>50</c:v>
                </c:pt>
                <c:pt idx="1">
                  <c:v>70</c:v>
                </c:pt>
                <c:pt idx="2">
                  <c:v>204</c:v>
                </c:pt>
                <c:pt idx="3">
                  <c:v>56</c:v>
                </c:pt>
                <c:pt idx="4">
                  <c:v>13</c:v>
                </c:pt>
                <c:pt idx="5">
                  <c:v>13</c:v>
                </c:pt>
                <c:pt idx="6">
                  <c:v>8</c:v>
                </c:pt>
                <c:pt idx="7">
                  <c:v>0</c:v>
                </c:pt>
                <c:pt idx="8">
                  <c:v>12</c:v>
                </c:pt>
                <c:pt idx="9">
                  <c:v>5</c:v>
                </c:pt>
                <c:pt idx="10">
                  <c:v>6</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53400"/>
        <c:axId val="451750656"/>
      </c:barChart>
      <c:catAx>
        <c:axId val="45175340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50656"/>
        <c:crosses val="autoZero"/>
        <c:auto val="1"/>
        <c:lblAlgn val="ctr"/>
        <c:lblOffset val="100"/>
        <c:noMultiLvlLbl val="0"/>
      </c:catAx>
      <c:valAx>
        <c:axId val="45175065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53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2022-03-11</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'March 11, 2022'!$B$2:$B$3</c:f>
              <c:strCache>
                <c:ptCount val="2"/>
                <c:pt idx="0">
                  <c:v>Total Hospital</c:v>
                </c:pt>
                <c:pt idx="1">
                  <c:v>4045</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11,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11, 2022'!$B$4:$B$16</c:f>
              <c:numCache>
                <c:formatCode>General</c:formatCode>
                <c:ptCount val="13"/>
                <c:pt idx="0">
                  <c:v>388</c:v>
                </c:pt>
                <c:pt idx="1">
                  <c:v>1067</c:v>
                </c:pt>
                <c:pt idx="2" formatCode="0">
                  <c:v>717</c:v>
                </c:pt>
                <c:pt idx="3" formatCode="#,##0">
                  <c:v>1126</c:v>
                </c:pt>
                <c:pt idx="4">
                  <c:v>50</c:v>
                </c:pt>
                <c:pt idx="5">
                  <c:v>101</c:v>
                </c:pt>
                <c:pt idx="6">
                  <c:v>160</c:v>
                </c:pt>
                <c:pt idx="7">
                  <c:v>15</c:v>
                </c:pt>
                <c:pt idx="8">
                  <c:v>339</c:v>
                </c:pt>
                <c:pt idx="9">
                  <c:v>20</c:v>
                </c:pt>
                <c:pt idx="10">
                  <c:v>29</c:v>
                </c:pt>
                <c:pt idx="11">
                  <c:v>0</c:v>
                </c:pt>
                <c:pt idx="12">
                  <c:v>33</c:v>
                </c:pt>
              </c:numCache>
            </c:numRef>
          </c:val>
          <c:extLst>
            <c:ext xmlns:c16="http://schemas.microsoft.com/office/drawing/2014/chart" uri="{C3380CC4-5D6E-409C-BE32-E72D297353CC}">
              <c16:uniqueId val="{00000000-EDA9-447A-B34A-7F5482B615D8}"/>
            </c:ext>
          </c:extLst>
        </c:ser>
        <c:ser>
          <c:idx val="1"/>
          <c:order val="1"/>
          <c:tx>
            <c:strRef>
              <c:f>'March 11, 2022'!$C$2:$C$3</c:f>
              <c:strCache>
                <c:ptCount val="2"/>
                <c:pt idx="0">
                  <c:v>Total ICU</c:v>
                </c:pt>
                <c:pt idx="1">
                  <c:v>510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11,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11, 2022'!$C$4:$C$16</c:f>
              <c:numCache>
                <c:formatCode>General</c:formatCode>
                <c:ptCount val="13"/>
                <c:pt idx="0">
                  <c:v>52</c:v>
                </c:pt>
                <c:pt idx="1">
                  <c:v>76</c:v>
                </c:pt>
                <c:pt idx="2">
                  <c:v>238</c:v>
                </c:pt>
                <c:pt idx="3">
                  <c:v>65</c:v>
                </c:pt>
                <c:pt idx="4">
                  <c:v>13</c:v>
                </c:pt>
                <c:pt idx="5">
                  <c:v>18</c:v>
                </c:pt>
                <c:pt idx="6">
                  <c:v>13</c:v>
                </c:pt>
                <c:pt idx="7">
                  <c:v>0</c:v>
                </c:pt>
                <c:pt idx="8">
                  <c:v>24</c:v>
                </c:pt>
                <c:pt idx="9">
                  <c:v>5</c:v>
                </c:pt>
                <c:pt idx="10">
                  <c:v>6</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53008"/>
        <c:axId val="451757320"/>
      </c:barChart>
      <c:catAx>
        <c:axId val="45175300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57320"/>
        <c:crosses val="autoZero"/>
        <c:auto val="1"/>
        <c:lblAlgn val="ctr"/>
        <c:lblOffset val="100"/>
        <c:noMultiLvlLbl val="0"/>
      </c:catAx>
      <c:valAx>
        <c:axId val="45175732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53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2022-03-09</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'March 09, 2022'!$B$2:$B$3</c:f>
              <c:strCache>
                <c:ptCount val="2"/>
                <c:pt idx="0">
                  <c:v>Total Hospital</c:v>
                </c:pt>
                <c:pt idx="1">
                  <c:v>4279</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09,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09, 2022'!$B$4:$B$16</c:f>
              <c:numCache>
                <c:formatCode>General</c:formatCode>
                <c:ptCount val="13"/>
                <c:pt idx="0">
                  <c:v>419</c:v>
                </c:pt>
                <c:pt idx="1">
                  <c:v>1106</c:v>
                </c:pt>
                <c:pt idx="2" formatCode="0">
                  <c:v>751</c:v>
                </c:pt>
                <c:pt idx="3" formatCode="#,##0">
                  <c:v>1222</c:v>
                </c:pt>
                <c:pt idx="4">
                  <c:v>45</c:v>
                </c:pt>
                <c:pt idx="5">
                  <c:v>99</c:v>
                </c:pt>
                <c:pt idx="6">
                  <c:v>175</c:v>
                </c:pt>
                <c:pt idx="7">
                  <c:v>9</c:v>
                </c:pt>
                <c:pt idx="8">
                  <c:v>372</c:v>
                </c:pt>
                <c:pt idx="9">
                  <c:v>25</c:v>
                </c:pt>
                <c:pt idx="10">
                  <c:v>29</c:v>
                </c:pt>
                <c:pt idx="11">
                  <c:v>0</c:v>
                </c:pt>
                <c:pt idx="12">
                  <c:v>27</c:v>
                </c:pt>
              </c:numCache>
            </c:numRef>
          </c:val>
          <c:extLst>
            <c:ext xmlns:c16="http://schemas.microsoft.com/office/drawing/2014/chart" uri="{C3380CC4-5D6E-409C-BE32-E72D297353CC}">
              <c16:uniqueId val="{00000000-EDA9-447A-B34A-7F5482B615D8}"/>
            </c:ext>
          </c:extLst>
        </c:ser>
        <c:ser>
          <c:idx val="1"/>
          <c:order val="1"/>
          <c:tx>
            <c:strRef>
              <c:f>'March 09, 2022'!$C$2:$C$3</c:f>
              <c:strCache>
                <c:ptCount val="2"/>
                <c:pt idx="0">
                  <c:v>Total ICU</c:v>
                </c:pt>
                <c:pt idx="1">
                  <c:v>528</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09,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09, 2022'!$C$4:$C$16</c:f>
              <c:numCache>
                <c:formatCode>General</c:formatCode>
                <c:ptCount val="13"/>
                <c:pt idx="0">
                  <c:v>63</c:v>
                </c:pt>
                <c:pt idx="1">
                  <c:v>77</c:v>
                </c:pt>
                <c:pt idx="2">
                  <c:v>241</c:v>
                </c:pt>
                <c:pt idx="3">
                  <c:v>69</c:v>
                </c:pt>
                <c:pt idx="4">
                  <c:v>13</c:v>
                </c:pt>
                <c:pt idx="5">
                  <c:v>12</c:v>
                </c:pt>
                <c:pt idx="6">
                  <c:v>12</c:v>
                </c:pt>
                <c:pt idx="7">
                  <c:v>0</c:v>
                </c:pt>
                <c:pt idx="8">
                  <c:v>30</c:v>
                </c:pt>
                <c:pt idx="9">
                  <c:v>5</c:v>
                </c:pt>
                <c:pt idx="10">
                  <c:v>6</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54184"/>
        <c:axId val="451754968"/>
      </c:barChart>
      <c:catAx>
        <c:axId val="45175418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54968"/>
        <c:crosses val="autoZero"/>
        <c:auto val="1"/>
        <c:lblAlgn val="ctr"/>
        <c:lblOffset val="100"/>
        <c:noMultiLvlLbl val="0"/>
      </c:catAx>
      <c:valAx>
        <c:axId val="45175496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54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2022-03-07</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'March 07, 2022'!$B$2:$B$3</c:f>
              <c:strCache>
                <c:ptCount val="2"/>
                <c:pt idx="0">
                  <c:v>Total Hospital</c:v>
                </c:pt>
                <c:pt idx="1">
                  <c:v>4377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07,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07, 2022'!$B$4:$B$16</c:f>
              <c:numCache>
                <c:formatCode>General</c:formatCode>
                <c:ptCount val="13"/>
                <c:pt idx="0">
                  <c:v>484</c:v>
                </c:pt>
                <c:pt idx="1">
                  <c:v>1164</c:v>
                </c:pt>
                <c:pt idx="2" formatCode="0">
                  <c:v>693</c:v>
                </c:pt>
                <c:pt idx="3" formatCode="#,##0">
                  <c:v>1254</c:v>
                </c:pt>
                <c:pt idx="4">
                  <c:v>45</c:v>
                </c:pt>
                <c:pt idx="5">
                  <c:v>100</c:v>
                </c:pt>
                <c:pt idx="6">
                  <c:v>192</c:v>
                </c:pt>
                <c:pt idx="7">
                  <c:v>9</c:v>
                </c:pt>
                <c:pt idx="8">
                  <c:v>353</c:v>
                </c:pt>
                <c:pt idx="9">
                  <c:v>25</c:v>
                </c:pt>
                <c:pt idx="10">
                  <c:v>29</c:v>
                </c:pt>
                <c:pt idx="11">
                  <c:v>2</c:v>
                </c:pt>
                <c:pt idx="12">
                  <c:v>27</c:v>
                </c:pt>
              </c:numCache>
            </c:numRef>
          </c:val>
          <c:extLst>
            <c:ext xmlns:c16="http://schemas.microsoft.com/office/drawing/2014/chart" uri="{C3380CC4-5D6E-409C-BE32-E72D297353CC}">
              <c16:uniqueId val="{00000000-EDA9-447A-B34A-7F5482B615D8}"/>
            </c:ext>
          </c:extLst>
        </c:ser>
        <c:ser>
          <c:idx val="1"/>
          <c:order val="1"/>
          <c:tx>
            <c:strRef>
              <c:f>'March 07, 2022'!$C$2:$C$3</c:f>
              <c:strCache>
                <c:ptCount val="2"/>
                <c:pt idx="0">
                  <c:v>Total ICU</c:v>
                </c:pt>
                <c:pt idx="1">
                  <c:v>552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07,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07, 2022'!$C$4:$C$16</c:f>
              <c:numCache>
                <c:formatCode>General</c:formatCode>
                <c:ptCount val="13"/>
                <c:pt idx="0">
                  <c:v>69</c:v>
                </c:pt>
                <c:pt idx="1">
                  <c:v>77</c:v>
                </c:pt>
                <c:pt idx="2">
                  <c:v>249</c:v>
                </c:pt>
                <c:pt idx="3">
                  <c:v>79</c:v>
                </c:pt>
                <c:pt idx="4">
                  <c:v>13</c:v>
                </c:pt>
                <c:pt idx="5">
                  <c:v>9</c:v>
                </c:pt>
                <c:pt idx="6">
                  <c:v>15</c:v>
                </c:pt>
                <c:pt idx="7">
                  <c:v>0</c:v>
                </c:pt>
                <c:pt idx="8">
                  <c:v>30</c:v>
                </c:pt>
                <c:pt idx="9">
                  <c:v>5</c:v>
                </c:pt>
                <c:pt idx="10">
                  <c:v>6</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55360"/>
        <c:axId val="451755752"/>
      </c:barChart>
      <c:catAx>
        <c:axId val="45175536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55752"/>
        <c:crosses val="autoZero"/>
        <c:auto val="1"/>
        <c:lblAlgn val="ctr"/>
        <c:lblOffset val="100"/>
        <c:noMultiLvlLbl val="0"/>
      </c:catAx>
      <c:valAx>
        <c:axId val="45175575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55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2022-03-04</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'March 04, 2022'!$B$2:$B$3</c:f>
              <c:strCache>
                <c:ptCount val="2"/>
                <c:pt idx="0">
                  <c:v>Total Hospital</c:v>
                </c:pt>
                <c:pt idx="1">
                  <c:v>4628</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04,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04, 2022'!$B$4:$B$16</c:f>
              <c:numCache>
                <c:formatCode>General</c:formatCode>
                <c:ptCount val="13"/>
                <c:pt idx="0">
                  <c:v>511</c:v>
                </c:pt>
                <c:pt idx="1">
                  <c:v>1204</c:v>
                </c:pt>
                <c:pt idx="2" formatCode="0">
                  <c:v>821</c:v>
                </c:pt>
                <c:pt idx="3" formatCode="#,##0">
                  <c:v>1313</c:v>
                </c:pt>
                <c:pt idx="4">
                  <c:v>46</c:v>
                </c:pt>
                <c:pt idx="5">
                  <c:v>92</c:v>
                </c:pt>
                <c:pt idx="6">
                  <c:v>160</c:v>
                </c:pt>
                <c:pt idx="7">
                  <c:v>56</c:v>
                </c:pt>
                <c:pt idx="8">
                  <c:v>353</c:v>
                </c:pt>
                <c:pt idx="9">
                  <c:v>16</c:v>
                </c:pt>
                <c:pt idx="10">
                  <c:v>29</c:v>
                </c:pt>
                <c:pt idx="11">
                  <c:v>0</c:v>
                </c:pt>
                <c:pt idx="12">
                  <c:v>27</c:v>
                </c:pt>
              </c:numCache>
            </c:numRef>
          </c:val>
          <c:extLst>
            <c:ext xmlns:c16="http://schemas.microsoft.com/office/drawing/2014/chart" uri="{C3380CC4-5D6E-409C-BE32-E72D297353CC}">
              <c16:uniqueId val="{00000000-EDA9-447A-B34A-7F5482B615D8}"/>
            </c:ext>
          </c:extLst>
        </c:ser>
        <c:ser>
          <c:idx val="1"/>
          <c:order val="1"/>
          <c:tx>
            <c:strRef>
              <c:f>'March 04, 2022'!$C$2:$C$3</c:f>
              <c:strCache>
                <c:ptCount val="2"/>
                <c:pt idx="0">
                  <c:v>Total ICU</c:v>
                </c:pt>
                <c:pt idx="1">
                  <c:v>584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04,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04, 2022'!$C$4:$C$16</c:f>
              <c:numCache>
                <c:formatCode>General</c:formatCode>
                <c:ptCount val="13"/>
                <c:pt idx="0">
                  <c:v>79</c:v>
                </c:pt>
                <c:pt idx="1">
                  <c:v>80</c:v>
                </c:pt>
                <c:pt idx="2">
                  <c:v>262</c:v>
                </c:pt>
                <c:pt idx="3">
                  <c:v>80</c:v>
                </c:pt>
                <c:pt idx="4">
                  <c:v>12</c:v>
                </c:pt>
                <c:pt idx="5">
                  <c:v>8</c:v>
                </c:pt>
                <c:pt idx="6">
                  <c:v>12</c:v>
                </c:pt>
                <c:pt idx="7">
                  <c:v>9</c:v>
                </c:pt>
                <c:pt idx="8">
                  <c:v>30</c:v>
                </c:pt>
                <c:pt idx="9">
                  <c:v>6</c:v>
                </c:pt>
                <c:pt idx="10">
                  <c:v>6</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58888"/>
        <c:axId val="451756536"/>
      </c:barChart>
      <c:catAx>
        <c:axId val="45175888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56536"/>
        <c:crosses val="autoZero"/>
        <c:auto val="1"/>
        <c:lblAlgn val="ctr"/>
        <c:lblOffset val="100"/>
        <c:noMultiLvlLbl val="0"/>
      </c:catAx>
      <c:valAx>
        <c:axId val="45175653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58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2022-03-02</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'March 02, 2022'!$B$2:$B$3</c:f>
              <c:strCache>
                <c:ptCount val="2"/>
                <c:pt idx="0">
                  <c:v>Total Hospital</c:v>
                </c:pt>
                <c:pt idx="1">
                  <c:v>4822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02,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02, 2022'!$B$4:$B$16</c:f>
              <c:numCache>
                <c:formatCode>General</c:formatCode>
                <c:ptCount val="13"/>
                <c:pt idx="0">
                  <c:v>523</c:v>
                </c:pt>
                <c:pt idx="1">
                  <c:v>1224</c:v>
                </c:pt>
                <c:pt idx="2" formatCode="0">
                  <c:v>847</c:v>
                </c:pt>
                <c:pt idx="3" formatCode="#,##0">
                  <c:v>1381</c:v>
                </c:pt>
                <c:pt idx="4">
                  <c:v>48</c:v>
                </c:pt>
                <c:pt idx="5">
                  <c:v>89</c:v>
                </c:pt>
                <c:pt idx="6">
                  <c:v>223</c:v>
                </c:pt>
                <c:pt idx="7">
                  <c:v>56</c:v>
                </c:pt>
                <c:pt idx="8">
                  <c:v>365</c:v>
                </c:pt>
                <c:pt idx="9">
                  <c:v>15</c:v>
                </c:pt>
                <c:pt idx="10">
                  <c:v>29</c:v>
                </c:pt>
                <c:pt idx="11">
                  <c:v>0</c:v>
                </c:pt>
                <c:pt idx="12">
                  <c:v>22</c:v>
                </c:pt>
              </c:numCache>
            </c:numRef>
          </c:val>
          <c:extLst>
            <c:ext xmlns:c16="http://schemas.microsoft.com/office/drawing/2014/chart" uri="{C3380CC4-5D6E-409C-BE32-E72D297353CC}">
              <c16:uniqueId val="{00000000-EDA9-447A-B34A-7F5482B615D8}"/>
            </c:ext>
          </c:extLst>
        </c:ser>
        <c:ser>
          <c:idx val="1"/>
          <c:order val="1"/>
          <c:tx>
            <c:strRef>
              <c:f>'March 02, 2022'!$C$2:$C$3</c:f>
              <c:strCache>
                <c:ptCount val="2"/>
                <c:pt idx="0">
                  <c:v>Total ICU</c:v>
                </c:pt>
                <c:pt idx="1">
                  <c:v>600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02,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02, 2022'!$C$4:$C$16</c:f>
              <c:numCache>
                <c:formatCode>General</c:formatCode>
                <c:ptCount val="13"/>
                <c:pt idx="0">
                  <c:v>83</c:v>
                </c:pt>
                <c:pt idx="1">
                  <c:v>83</c:v>
                </c:pt>
                <c:pt idx="2">
                  <c:v>273</c:v>
                </c:pt>
                <c:pt idx="3">
                  <c:v>82</c:v>
                </c:pt>
                <c:pt idx="4">
                  <c:v>11</c:v>
                </c:pt>
                <c:pt idx="5">
                  <c:v>8</c:v>
                </c:pt>
                <c:pt idx="6">
                  <c:v>15</c:v>
                </c:pt>
                <c:pt idx="7">
                  <c:v>9</c:v>
                </c:pt>
                <c:pt idx="8">
                  <c:v>30</c:v>
                </c:pt>
                <c:pt idx="9">
                  <c:v>0</c:v>
                </c:pt>
                <c:pt idx="10">
                  <c:v>6</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60064"/>
        <c:axId val="451749480"/>
      </c:barChart>
      <c:catAx>
        <c:axId val="45176006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49480"/>
        <c:crosses val="autoZero"/>
        <c:auto val="1"/>
        <c:lblAlgn val="ctr"/>
        <c:lblOffset val="100"/>
        <c:noMultiLvlLbl val="0"/>
      </c:catAx>
      <c:valAx>
        <c:axId val="4517494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600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2022-02-25</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'February 25, 2022'!$B$2:$B$3</c:f>
              <c:strCache>
                <c:ptCount val="2"/>
                <c:pt idx="0">
                  <c:v>Total Hospital</c:v>
                </c:pt>
                <c:pt idx="1">
                  <c:v>5342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25,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25, 2022'!$B$4:$B$16</c:f>
              <c:numCache>
                <c:formatCode>General</c:formatCode>
                <c:ptCount val="13"/>
                <c:pt idx="0">
                  <c:v>612</c:v>
                </c:pt>
                <c:pt idx="1">
                  <c:v>1357</c:v>
                </c:pt>
                <c:pt idx="2" formatCode="0">
                  <c:v>1003</c:v>
                </c:pt>
                <c:pt idx="3" formatCode="#,##0">
                  <c:v>1532</c:v>
                </c:pt>
                <c:pt idx="4">
                  <c:v>46</c:v>
                </c:pt>
                <c:pt idx="5">
                  <c:v>77</c:v>
                </c:pt>
                <c:pt idx="6">
                  <c:v>222</c:v>
                </c:pt>
                <c:pt idx="7">
                  <c:v>54</c:v>
                </c:pt>
                <c:pt idx="8">
                  <c:v>372</c:v>
                </c:pt>
                <c:pt idx="9">
                  <c:v>17</c:v>
                </c:pt>
                <c:pt idx="10">
                  <c:v>28</c:v>
                </c:pt>
                <c:pt idx="11">
                  <c:v>0</c:v>
                </c:pt>
                <c:pt idx="12">
                  <c:v>22</c:v>
                </c:pt>
              </c:numCache>
            </c:numRef>
          </c:val>
          <c:extLst>
            <c:ext xmlns:c16="http://schemas.microsoft.com/office/drawing/2014/chart" uri="{C3380CC4-5D6E-409C-BE32-E72D297353CC}">
              <c16:uniqueId val="{00000000-EDA9-447A-B34A-7F5482B615D8}"/>
            </c:ext>
          </c:extLst>
        </c:ser>
        <c:ser>
          <c:idx val="1"/>
          <c:order val="1"/>
          <c:tx>
            <c:strRef>
              <c:f>'February 25, 2022'!$C$2:$C$3</c:f>
              <c:strCache>
                <c:ptCount val="2"/>
                <c:pt idx="0">
                  <c:v>Total ICU</c:v>
                </c:pt>
                <c:pt idx="1">
                  <c:v>666</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25,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25, 2022'!$C$4:$C$16</c:f>
              <c:numCache>
                <c:formatCode>General</c:formatCode>
                <c:ptCount val="13"/>
                <c:pt idx="0">
                  <c:v>102</c:v>
                </c:pt>
                <c:pt idx="1">
                  <c:v>92</c:v>
                </c:pt>
                <c:pt idx="2">
                  <c:v>297</c:v>
                </c:pt>
                <c:pt idx="3">
                  <c:v>105</c:v>
                </c:pt>
                <c:pt idx="4">
                  <c:v>12</c:v>
                </c:pt>
                <c:pt idx="5">
                  <c:v>5</c:v>
                </c:pt>
                <c:pt idx="6">
                  <c:v>12</c:v>
                </c:pt>
                <c:pt idx="7">
                  <c:v>9</c:v>
                </c:pt>
                <c:pt idx="8">
                  <c:v>27</c:v>
                </c:pt>
                <c:pt idx="9">
                  <c:v>0</c:v>
                </c:pt>
                <c:pt idx="10">
                  <c:v>5</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60848"/>
        <c:axId val="451749872"/>
      </c:barChart>
      <c:catAx>
        <c:axId val="45176084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49872"/>
        <c:crosses val="autoZero"/>
        <c:auto val="1"/>
        <c:lblAlgn val="ctr"/>
        <c:lblOffset val="100"/>
        <c:noMultiLvlLbl val="0"/>
      </c:catAx>
      <c:valAx>
        <c:axId val="45174987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608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2022-02-23</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'February 23, 2022'!$B$2:$B$3</c:f>
              <c:strCache>
                <c:ptCount val="2"/>
                <c:pt idx="0">
                  <c:v>Total Hospital</c:v>
                </c:pt>
                <c:pt idx="1">
                  <c:v>5930</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23,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23, 2022'!$B$4:$B$16</c:f>
              <c:numCache>
                <c:formatCode>General</c:formatCode>
                <c:ptCount val="13"/>
                <c:pt idx="0">
                  <c:v>688</c:v>
                </c:pt>
                <c:pt idx="1">
                  <c:v>1494</c:v>
                </c:pt>
                <c:pt idx="2" formatCode="0">
                  <c:v>1038</c:v>
                </c:pt>
                <c:pt idx="3" formatCode="#,##0">
                  <c:v>1742</c:v>
                </c:pt>
                <c:pt idx="4">
                  <c:v>53</c:v>
                </c:pt>
                <c:pt idx="5">
                  <c:v>78</c:v>
                </c:pt>
                <c:pt idx="6">
                  <c:v>310</c:v>
                </c:pt>
                <c:pt idx="7">
                  <c:v>51</c:v>
                </c:pt>
                <c:pt idx="8">
                  <c:v>410</c:v>
                </c:pt>
                <c:pt idx="9">
                  <c:v>16</c:v>
                </c:pt>
                <c:pt idx="10">
                  <c:v>28</c:v>
                </c:pt>
                <c:pt idx="11">
                  <c:v>0</c:v>
                </c:pt>
                <c:pt idx="12">
                  <c:v>22</c:v>
                </c:pt>
              </c:numCache>
            </c:numRef>
          </c:val>
          <c:extLst>
            <c:ext xmlns:c16="http://schemas.microsoft.com/office/drawing/2014/chart" uri="{C3380CC4-5D6E-409C-BE32-E72D297353CC}">
              <c16:uniqueId val="{00000000-EDA9-447A-B34A-7F5482B615D8}"/>
            </c:ext>
          </c:extLst>
        </c:ser>
        <c:ser>
          <c:idx val="1"/>
          <c:order val="1"/>
          <c:tx>
            <c:strRef>
              <c:f>'February 23, 2022'!$C$2:$C$3</c:f>
              <c:strCache>
                <c:ptCount val="2"/>
                <c:pt idx="0">
                  <c:v>Total ICU</c:v>
                </c:pt>
                <c:pt idx="1">
                  <c:v>736</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23,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23, 2022'!$C$4:$C$16</c:f>
              <c:numCache>
                <c:formatCode>General</c:formatCode>
                <c:ptCount val="13"/>
                <c:pt idx="0">
                  <c:v>108</c:v>
                </c:pt>
                <c:pt idx="1">
                  <c:v>116</c:v>
                </c:pt>
                <c:pt idx="2">
                  <c:v>319</c:v>
                </c:pt>
                <c:pt idx="3">
                  <c:v>107</c:v>
                </c:pt>
                <c:pt idx="4">
                  <c:v>12</c:v>
                </c:pt>
                <c:pt idx="5">
                  <c:v>8</c:v>
                </c:pt>
                <c:pt idx="6">
                  <c:v>15</c:v>
                </c:pt>
                <c:pt idx="7">
                  <c:v>8</c:v>
                </c:pt>
                <c:pt idx="8">
                  <c:v>33</c:v>
                </c:pt>
                <c:pt idx="9">
                  <c:v>5</c:v>
                </c:pt>
                <c:pt idx="10">
                  <c:v>5</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68688"/>
        <c:axId val="451769080"/>
      </c:barChart>
      <c:catAx>
        <c:axId val="45176868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69080"/>
        <c:crosses val="autoZero"/>
        <c:auto val="1"/>
        <c:lblAlgn val="ctr"/>
        <c:lblOffset val="100"/>
        <c:noMultiLvlLbl val="0"/>
      </c:catAx>
      <c:valAx>
        <c:axId val="4517690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686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2022-02-18</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'February 18, 2022'!$B$2:$B$3</c:f>
              <c:strCache>
                <c:ptCount val="2"/>
                <c:pt idx="0">
                  <c:v>Total Hospital</c:v>
                </c:pt>
                <c:pt idx="1">
                  <c:v>6319</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18,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18, 2022'!$B$4:$B$16</c:f>
              <c:numCache>
                <c:formatCode>General</c:formatCode>
                <c:ptCount val="13"/>
                <c:pt idx="0">
                  <c:v>744</c:v>
                </c:pt>
                <c:pt idx="1">
                  <c:v>1491</c:v>
                </c:pt>
                <c:pt idx="2" formatCode="0">
                  <c:v>1281</c:v>
                </c:pt>
                <c:pt idx="3" formatCode="#,##0">
                  <c:v>1834</c:v>
                </c:pt>
                <c:pt idx="4">
                  <c:v>66</c:v>
                </c:pt>
                <c:pt idx="5">
                  <c:v>78</c:v>
                </c:pt>
                <c:pt idx="6">
                  <c:v>302</c:v>
                </c:pt>
                <c:pt idx="7">
                  <c:v>51</c:v>
                </c:pt>
                <c:pt idx="8">
                  <c:v>410</c:v>
                </c:pt>
                <c:pt idx="9">
                  <c:v>13</c:v>
                </c:pt>
                <c:pt idx="10">
                  <c:v>27</c:v>
                </c:pt>
                <c:pt idx="11">
                  <c:v>0</c:v>
                </c:pt>
                <c:pt idx="12">
                  <c:v>22</c:v>
                </c:pt>
              </c:numCache>
            </c:numRef>
          </c:val>
          <c:extLst>
            <c:ext xmlns:c16="http://schemas.microsoft.com/office/drawing/2014/chart" uri="{C3380CC4-5D6E-409C-BE32-E72D297353CC}">
              <c16:uniqueId val="{00000000-EDA9-447A-B34A-7F5482B615D8}"/>
            </c:ext>
          </c:extLst>
        </c:ser>
        <c:ser>
          <c:idx val="1"/>
          <c:order val="1"/>
          <c:tx>
            <c:strRef>
              <c:f>'February 18, 2022'!$C$2:$C$3</c:f>
              <c:strCache>
                <c:ptCount val="2"/>
                <c:pt idx="0">
                  <c:v>Total ICU</c:v>
                </c:pt>
                <c:pt idx="1">
                  <c:v>790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18,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18, 2022'!$C$4:$C$16</c:f>
              <c:numCache>
                <c:formatCode>General</c:formatCode>
                <c:ptCount val="13"/>
                <c:pt idx="0">
                  <c:v>120</c:v>
                </c:pt>
                <c:pt idx="1">
                  <c:v>116</c:v>
                </c:pt>
                <c:pt idx="2">
                  <c:v>352</c:v>
                </c:pt>
                <c:pt idx="3">
                  <c:v>119</c:v>
                </c:pt>
                <c:pt idx="4">
                  <c:v>11</c:v>
                </c:pt>
                <c:pt idx="5">
                  <c:v>8</c:v>
                </c:pt>
                <c:pt idx="6">
                  <c:v>13</c:v>
                </c:pt>
                <c:pt idx="7">
                  <c:v>8</c:v>
                </c:pt>
                <c:pt idx="8">
                  <c:v>33</c:v>
                </c:pt>
                <c:pt idx="9">
                  <c:v>5</c:v>
                </c:pt>
                <c:pt idx="10">
                  <c:v>5</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69472"/>
        <c:axId val="451765160"/>
      </c:barChart>
      <c:catAx>
        <c:axId val="45176947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65160"/>
        <c:crosses val="autoZero"/>
        <c:auto val="1"/>
        <c:lblAlgn val="ctr"/>
        <c:lblOffset val="100"/>
        <c:noMultiLvlLbl val="0"/>
      </c:catAx>
      <c:valAx>
        <c:axId val="45176516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69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2022-07-29</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'July 29, 2022'!$B$2:$B$3</c:f>
              <c:strCache>
                <c:ptCount val="2"/>
                <c:pt idx="0">
                  <c:v>Total Hospital</c:v>
                </c:pt>
                <c:pt idx="1">
                  <c:v>5117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29,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29, 2022'!$B$4:$B$16</c:f>
              <c:numCache>
                <c:formatCode>General</c:formatCode>
                <c:ptCount val="13"/>
                <c:pt idx="0">
                  <c:v>401</c:v>
                </c:pt>
                <c:pt idx="1">
                  <c:v>649</c:v>
                </c:pt>
                <c:pt idx="2" formatCode="0">
                  <c:v>1492</c:v>
                </c:pt>
                <c:pt idx="3" formatCode="#,##0">
                  <c:v>2176</c:v>
                </c:pt>
                <c:pt idx="4">
                  <c:v>42</c:v>
                </c:pt>
                <c:pt idx="5">
                  <c:v>34</c:v>
                </c:pt>
                <c:pt idx="6">
                  <c:v>45</c:v>
                </c:pt>
                <c:pt idx="7">
                  <c:v>32</c:v>
                </c:pt>
                <c:pt idx="8">
                  <c:v>229</c:v>
                </c:pt>
                <c:pt idx="9">
                  <c:v>17</c:v>
                </c:pt>
                <c:pt idx="10">
                  <c:v>0</c:v>
                </c:pt>
                <c:pt idx="11">
                  <c:v>0</c:v>
                </c:pt>
                <c:pt idx="12">
                  <c:v>0</c:v>
                </c:pt>
              </c:numCache>
            </c:numRef>
          </c:val>
          <c:extLst>
            <c:ext xmlns:c16="http://schemas.microsoft.com/office/drawing/2014/chart" uri="{C3380CC4-5D6E-409C-BE32-E72D297353CC}">
              <c16:uniqueId val="{00000000-8975-4D91-B119-309810312117}"/>
            </c:ext>
          </c:extLst>
        </c:ser>
        <c:ser>
          <c:idx val="1"/>
          <c:order val="1"/>
          <c:tx>
            <c:strRef>
              <c:f>'July 29, 2022'!$C$2:$C$3</c:f>
              <c:strCache>
                <c:ptCount val="2"/>
                <c:pt idx="0">
                  <c:v>Total ICU</c:v>
                </c:pt>
                <c:pt idx="1">
                  <c:v>300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975-4D91-B119-30981031211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29,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29, 2022'!$C$4:$C$16</c:f>
              <c:numCache>
                <c:formatCode>General</c:formatCode>
                <c:ptCount val="13"/>
                <c:pt idx="0">
                  <c:v>35</c:v>
                </c:pt>
                <c:pt idx="1">
                  <c:v>26</c:v>
                </c:pt>
                <c:pt idx="2">
                  <c:v>138</c:v>
                </c:pt>
                <c:pt idx="3">
                  <c:v>68</c:v>
                </c:pt>
                <c:pt idx="4">
                  <c:v>6</c:v>
                </c:pt>
                <c:pt idx="5">
                  <c:v>3</c:v>
                </c:pt>
                <c:pt idx="6">
                  <c:v>8</c:v>
                </c:pt>
                <c:pt idx="7">
                  <c:v>0</c:v>
                </c:pt>
                <c:pt idx="8">
                  <c:v>15</c:v>
                </c:pt>
                <c:pt idx="9">
                  <c:v>1</c:v>
                </c:pt>
                <c:pt idx="10">
                  <c:v>0</c:v>
                </c:pt>
                <c:pt idx="11">
                  <c:v>0</c:v>
                </c:pt>
                <c:pt idx="12">
                  <c:v>0</c:v>
                </c:pt>
              </c:numCache>
            </c:numRef>
          </c:val>
          <c:extLst>
            <c:ext xmlns:c16="http://schemas.microsoft.com/office/drawing/2014/chart" uri="{C3380CC4-5D6E-409C-BE32-E72D297353CC}">
              <c16:uniqueId val="{00000002-8975-4D91-B119-309810312117}"/>
            </c:ext>
          </c:extLst>
        </c:ser>
        <c:dLbls>
          <c:dLblPos val="outEnd"/>
          <c:showLegendKey val="0"/>
          <c:showVal val="1"/>
          <c:showCatName val="0"/>
          <c:showSerName val="0"/>
          <c:showPercent val="0"/>
          <c:showBubbleSize val="0"/>
        </c:dLbls>
        <c:gapWidth val="100"/>
        <c:overlap val="-24"/>
        <c:axId val="528188568"/>
        <c:axId val="528192880"/>
      </c:barChart>
      <c:catAx>
        <c:axId val="5281885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92880"/>
        <c:crosses val="autoZero"/>
        <c:auto val="1"/>
        <c:lblAlgn val="ctr"/>
        <c:lblOffset val="100"/>
        <c:noMultiLvlLbl val="0"/>
      </c:catAx>
      <c:valAx>
        <c:axId val="5281928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88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2022-02-16</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'February 16, 2022'!$B$2:$B$3</c:f>
              <c:strCache>
                <c:ptCount val="2"/>
                <c:pt idx="0">
                  <c:v>Total Hospital</c:v>
                </c:pt>
                <c:pt idx="1">
                  <c:v>6823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16,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16, 2022'!$B$4:$B$16</c:f>
              <c:numCache>
                <c:formatCode>General</c:formatCode>
                <c:ptCount val="13"/>
                <c:pt idx="0">
                  <c:v>787</c:v>
                </c:pt>
                <c:pt idx="1">
                  <c:v>1538</c:v>
                </c:pt>
                <c:pt idx="2" formatCode="0">
                  <c:v>1403</c:v>
                </c:pt>
                <c:pt idx="3" formatCode="#,##0">
                  <c:v>1995</c:v>
                </c:pt>
                <c:pt idx="4">
                  <c:v>66</c:v>
                </c:pt>
                <c:pt idx="5">
                  <c:v>89</c:v>
                </c:pt>
                <c:pt idx="6">
                  <c:v>418</c:v>
                </c:pt>
                <c:pt idx="7">
                  <c:v>51</c:v>
                </c:pt>
                <c:pt idx="8">
                  <c:v>417</c:v>
                </c:pt>
                <c:pt idx="9">
                  <c:v>14</c:v>
                </c:pt>
                <c:pt idx="10">
                  <c:v>23</c:v>
                </c:pt>
                <c:pt idx="11">
                  <c:v>0</c:v>
                </c:pt>
                <c:pt idx="12">
                  <c:v>22</c:v>
                </c:pt>
              </c:numCache>
            </c:numRef>
          </c:val>
          <c:extLst>
            <c:ext xmlns:c16="http://schemas.microsoft.com/office/drawing/2014/chart" uri="{C3380CC4-5D6E-409C-BE32-E72D297353CC}">
              <c16:uniqueId val="{00000000-EDA9-447A-B34A-7F5482B615D8}"/>
            </c:ext>
          </c:extLst>
        </c:ser>
        <c:ser>
          <c:idx val="1"/>
          <c:order val="1"/>
          <c:tx>
            <c:strRef>
              <c:f>'February 16, 2022'!$C$2:$C$3</c:f>
              <c:strCache>
                <c:ptCount val="2"/>
                <c:pt idx="0">
                  <c:v>Total ICU</c:v>
                </c:pt>
                <c:pt idx="1">
                  <c:v>833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16,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16, 2022'!$C$4:$C$16</c:f>
              <c:numCache>
                <c:formatCode>General</c:formatCode>
                <c:ptCount val="13"/>
                <c:pt idx="0">
                  <c:v>124</c:v>
                </c:pt>
                <c:pt idx="1">
                  <c:v>123</c:v>
                </c:pt>
                <c:pt idx="2">
                  <c:v>364</c:v>
                </c:pt>
                <c:pt idx="3">
                  <c:v>129</c:v>
                </c:pt>
                <c:pt idx="4">
                  <c:v>9</c:v>
                </c:pt>
                <c:pt idx="5">
                  <c:v>9</c:v>
                </c:pt>
                <c:pt idx="6">
                  <c:v>24</c:v>
                </c:pt>
                <c:pt idx="7">
                  <c:v>8</c:v>
                </c:pt>
                <c:pt idx="8">
                  <c:v>33</c:v>
                </c:pt>
                <c:pt idx="9">
                  <c:v>6</c:v>
                </c:pt>
                <c:pt idx="10">
                  <c:v>4</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69864"/>
        <c:axId val="451770256"/>
      </c:barChart>
      <c:catAx>
        <c:axId val="45176986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70256"/>
        <c:crosses val="autoZero"/>
        <c:auto val="1"/>
        <c:lblAlgn val="ctr"/>
        <c:lblOffset val="100"/>
        <c:noMultiLvlLbl val="0"/>
      </c:catAx>
      <c:valAx>
        <c:axId val="45177025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69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2022-02-14</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'February 14, 2022'!$B$2:$B$3</c:f>
              <c:strCache>
                <c:ptCount val="2"/>
                <c:pt idx="0">
                  <c:v>Total Hospital</c:v>
                </c:pt>
                <c:pt idx="1">
                  <c:v>7095</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14,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14, 2022'!$B$4:$B$16</c:f>
              <c:numCache>
                <c:formatCode>General</c:formatCode>
                <c:ptCount val="13"/>
                <c:pt idx="0">
                  <c:v>846</c:v>
                </c:pt>
                <c:pt idx="1">
                  <c:v>1566</c:v>
                </c:pt>
                <c:pt idx="2" formatCode="0">
                  <c:v>1369</c:v>
                </c:pt>
                <c:pt idx="3" formatCode="#,##0">
                  <c:v>2214</c:v>
                </c:pt>
                <c:pt idx="4">
                  <c:v>82</c:v>
                </c:pt>
                <c:pt idx="5">
                  <c:v>116</c:v>
                </c:pt>
                <c:pt idx="6">
                  <c:v>408</c:v>
                </c:pt>
                <c:pt idx="7">
                  <c:v>50</c:v>
                </c:pt>
                <c:pt idx="8">
                  <c:v>378</c:v>
                </c:pt>
                <c:pt idx="9">
                  <c:v>26</c:v>
                </c:pt>
                <c:pt idx="10">
                  <c:v>21</c:v>
                </c:pt>
                <c:pt idx="11">
                  <c:v>0</c:v>
                </c:pt>
                <c:pt idx="12">
                  <c:v>19</c:v>
                </c:pt>
              </c:numCache>
            </c:numRef>
          </c:val>
          <c:extLst>
            <c:ext xmlns:c16="http://schemas.microsoft.com/office/drawing/2014/chart" uri="{C3380CC4-5D6E-409C-BE32-E72D297353CC}">
              <c16:uniqueId val="{00000000-EDA9-447A-B34A-7F5482B615D8}"/>
            </c:ext>
          </c:extLst>
        </c:ser>
        <c:ser>
          <c:idx val="1"/>
          <c:order val="1"/>
          <c:tx>
            <c:strRef>
              <c:f>'February 14, 2022'!$C$2:$C$3</c:f>
              <c:strCache>
                <c:ptCount val="2"/>
                <c:pt idx="0">
                  <c:v>Total ICU</c:v>
                </c:pt>
                <c:pt idx="1">
                  <c:v>912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14,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14, 2022'!$C$4:$C$16</c:f>
              <c:numCache>
                <c:formatCode>General</c:formatCode>
                <c:ptCount val="13"/>
                <c:pt idx="0">
                  <c:v>136</c:v>
                </c:pt>
                <c:pt idx="1">
                  <c:v>127</c:v>
                </c:pt>
                <c:pt idx="2">
                  <c:v>394</c:v>
                </c:pt>
                <c:pt idx="3">
                  <c:v>164</c:v>
                </c:pt>
                <c:pt idx="4">
                  <c:v>11</c:v>
                </c:pt>
                <c:pt idx="5">
                  <c:v>15</c:v>
                </c:pt>
                <c:pt idx="6">
                  <c:v>27</c:v>
                </c:pt>
                <c:pt idx="7">
                  <c:v>8</c:v>
                </c:pt>
                <c:pt idx="8">
                  <c:v>26</c:v>
                </c:pt>
                <c:pt idx="9">
                  <c:v>0</c:v>
                </c:pt>
                <c:pt idx="10">
                  <c:v>4</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61632"/>
        <c:axId val="451765944"/>
      </c:barChart>
      <c:catAx>
        <c:axId val="45176163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65944"/>
        <c:crosses val="autoZero"/>
        <c:auto val="1"/>
        <c:lblAlgn val="ctr"/>
        <c:lblOffset val="100"/>
        <c:noMultiLvlLbl val="0"/>
      </c:catAx>
      <c:valAx>
        <c:axId val="45176594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61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2022-02-11</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'February 11, 2022'!$B$2:$B$3</c:f>
              <c:strCache>
                <c:ptCount val="2"/>
                <c:pt idx="0">
                  <c:v>Total Hospital</c:v>
                </c:pt>
                <c:pt idx="1">
                  <c:v>7576</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11,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11, 2022'!$B$4:$B$16</c:f>
              <c:numCache>
                <c:formatCode>General</c:formatCode>
                <c:ptCount val="13"/>
                <c:pt idx="0">
                  <c:v>846</c:v>
                </c:pt>
                <c:pt idx="1">
                  <c:v>1566</c:v>
                </c:pt>
                <c:pt idx="2" formatCode="0">
                  <c:v>1829</c:v>
                </c:pt>
                <c:pt idx="3" formatCode="#,##0">
                  <c:v>2214</c:v>
                </c:pt>
                <c:pt idx="4">
                  <c:v>82</c:v>
                </c:pt>
                <c:pt idx="5">
                  <c:v>135</c:v>
                </c:pt>
                <c:pt idx="6">
                  <c:v>408</c:v>
                </c:pt>
                <c:pt idx="7">
                  <c:v>50</c:v>
                </c:pt>
                <c:pt idx="8">
                  <c:v>384</c:v>
                </c:pt>
                <c:pt idx="9">
                  <c:v>22</c:v>
                </c:pt>
                <c:pt idx="10">
                  <c:v>21</c:v>
                </c:pt>
                <c:pt idx="11">
                  <c:v>0</c:v>
                </c:pt>
                <c:pt idx="12">
                  <c:v>19</c:v>
                </c:pt>
              </c:numCache>
            </c:numRef>
          </c:val>
          <c:extLst>
            <c:ext xmlns:c16="http://schemas.microsoft.com/office/drawing/2014/chart" uri="{C3380CC4-5D6E-409C-BE32-E72D297353CC}">
              <c16:uniqueId val="{00000000-EDA9-447A-B34A-7F5482B615D8}"/>
            </c:ext>
          </c:extLst>
        </c:ser>
        <c:ser>
          <c:idx val="1"/>
          <c:order val="1"/>
          <c:tx>
            <c:strRef>
              <c:f>'February 11, 2022'!$C$2:$C$3</c:f>
              <c:strCache>
                <c:ptCount val="2"/>
                <c:pt idx="0">
                  <c:v>Total ICU</c:v>
                </c:pt>
                <c:pt idx="1">
                  <c:v>960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11,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11, 2022'!$C$4:$C$16</c:f>
              <c:numCache>
                <c:formatCode>General</c:formatCode>
                <c:ptCount val="13"/>
                <c:pt idx="0">
                  <c:v>136</c:v>
                </c:pt>
                <c:pt idx="1">
                  <c:v>127</c:v>
                </c:pt>
                <c:pt idx="2">
                  <c:v>435</c:v>
                </c:pt>
                <c:pt idx="3">
                  <c:v>164</c:v>
                </c:pt>
                <c:pt idx="4">
                  <c:v>11</c:v>
                </c:pt>
                <c:pt idx="5">
                  <c:v>13</c:v>
                </c:pt>
                <c:pt idx="6">
                  <c:v>27</c:v>
                </c:pt>
                <c:pt idx="7">
                  <c:v>8</c:v>
                </c:pt>
                <c:pt idx="8">
                  <c:v>26</c:v>
                </c:pt>
                <c:pt idx="9">
                  <c:v>9</c:v>
                </c:pt>
                <c:pt idx="10">
                  <c:v>4</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67904"/>
        <c:axId val="451770648"/>
      </c:barChart>
      <c:catAx>
        <c:axId val="45176790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70648"/>
        <c:crosses val="autoZero"/>
        <c:auto val="1"/>
        <c:lblAlgn val="ctr"/>
        <c:lblOffset val="100"/>
        <c:noMultiLvlLbl val="0"/>
      </c:catAx>
      <c:valAx>
        <c:axId val="45177064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67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2022-02-09</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'February 9, 2022'!$B$2:$B$3</c:f>
              <c:strCache>
                <c:ptCount val="2"/>
                <c:pt idx="0">
                  <c:v>Total Hospital</c:v>
                </c:pt>
                <c:pt idx="1">
                  <c:v>8231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9,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9, 2022'!$B$4:$B$16</c:f>
              <c:numCache>
                <c:formatCode>General</c:formatCode>
                <c:ptCount val="13"/>
                <c:pt idx="0">
                  <c:v>986</c:v>
                </c:pt>
                <c:pt idx="1">
                  <c:v>1623</c:v>
                </c:pt>
                <c:pt idx="2" formatCode="0">
                  <c:v>2059</c:v>
                </c:pt>
                <c:pt idx="3" formatCode="#,##0">
                  <c:v>2348</c:v>
                </c:pt>
                <c:pt idx="4">
                  <c:v>91</c:v>
                </c:pt>
                <c:pt idx="5">
                  <c:v>151</c:v>
                </c:pt>
                <c:pt idx="6">
                  <c:v>530</c:v>
                </c:pt>
                <c:pt idx="7">
                  <c:v>45</c:v>
                </c:pt>
                <c:pt idx="8">
                  <c:v>332</c:v>
                </c:pt>
                <c:pt idx="9">
                  <c:v>23</c:v>
                </c:pt>
                <c:pt idx="10">
                  <c:v>20</c:v>
                </c:pt>
                <c:pt idx="11">
                  <c:v>4</c:v>
                </c:pt>
                <c:pt idx="12">
                  <c:v>19</c:v>
                </c:pt>
              </c:numCache>
            </c:numRef>
          </c:val>
          <c:extLst>
            <c:ext xmlns:c16="http://schemas.microsoft.com/office/drawing/2014/chart" uri="{C3380CC4-5D6E-409C-BE32-E72D297353CC}">
              <c16:uniqueId val="{00000000-EDA9-447A-B34A-7F5482B615D8}"/>
            </c:ext>
          </c:extLst>
        </c:ser>
        <c:ser>
          <c:idx val="1"/>
          <c:order val="1"/>
          <c:tx>
            <c:strRef>
              <c:f>'February 9, 2022'!$C$2:$C$3</c:f>
              <c:strCache>
                <c:ptCount val="2"/>
                <c:pt idx="0">
                  <c:v>Total ICU</c:v>
                </c:pt>
                <c:pt idx="1">
                  <c:v>1005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9,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9, 2022'!$C$4:$C$16</c:f>
              <c:numCache>
                <c:formatCode>General</c:formatCode>
                <c:ptCount val="13"/>
                <c:pt idx="0">
                  <c:v>146</c:v>
                </c:pt>
                <c:pt idx="1">
                  <c:v>129</c:v>
                </c:pt>
                <c:pt idx="2">
                  <c:v>449</c:v>
                </c:pt>
                <c:pt idx="3">
                  <c:v>171</c:v>
                </c:pt>
                <c:pt idx="4">
                  <c:v>14</c:v>
                </c:pt>
                <c:pt idx="5">
                  <c:v>17</c:v>
                </c:pt>
                <c:pt idx="6">
                  <c:v>29</c:v>
                </c:pt>
                <c:pt idx="7">
                  <c:v>8</c:v>
                </c:pt>
                <c:pt idx="8">
                  <c:v>31</c:v>
                </c:pt>
                <c:pt idx="9">
                  <c:v>7</c:v>
                </c:pt>
                <c:pt idx="10">
                  <c:v>4</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62416"/>
        <c:axId val="451766728"/>
      </c:barChart>
      <c:catAx>
        <c:axId val="45176241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66728"/>
        <c:crosses val="autoZero"/>
        <c:auto val="1"/>
        <c:lblAlgn val="ctr"/>
        <c:lblOffset val="100"/>
        <c:noMultiLvlLbl val="0"/>
      </c:catAx>
      <c:valAx>
        <c:axId val="45176672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62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2022-02-07</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'February 7, 2022'!$B$2:$B$3</c:f>
              <c:strCache>
                <c:ptCount val="2"/>
                <c:pt idx="0">
                  <c:v>Total Hospital</c:v>
                </c:pt>
                <c:pt idx="1">
                  <c:v>8315</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7,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7, 2022'!$B$4:$B$16</c:f>
              <c:numCache>
                <c:formatCode>General</c:formatCode>
                <c:ptCount val="13"/>
                <c:pt idx="0">
                  <c:v>946</c:v>
                </c:pt>
                <c:pt idx="1">
                  <c:v>1584</c:v>
                </c:pt>
                <c:pt idx="2" formatCode="0">
                  <c:v>2155</c:v>
                </c:pt>
                <c:pt idx="3" formatCode="#,##0">
                  <c:v>2425</c:v>
                </c:pt>
                <c:pt idx="4">
                  <c:v>91</c:v>
                </c:pt>
                <c:pt idx="5">
                  <c:v>151</c:v>
                </c:pt>
                <c:pt idx="6">
                  <c:v>529</c:v>
                </c:pt>
                <c:pt idx="7">
                  <c:v>45</c:v>
                </c:pt>
                <c:pt idx="8">
                  <c:v>332</c:v>
                </c:pt>
                <c:pt idx="9">
                  <c:v>22</c:v>
                </c:pt>
                <c:pt idx="10">
                  <c:v>18</c:v>
                </c:pt>
                <c:pt idx="11">
                  <c:v>4</c:v>
                </c:pt>
                <c:pt idx="12">
                  <c:v>13</c:v>
                </c:pt>
              </c:numCache>
            </c:numRef>
          </c:val>
          <c:extLst>
            <c:ext xmlns:c16="http://schemas.microsoft.com/office/drawing/2014/chart" uri="{C3380CC4-5D6E-409C-BE32-E72D297353CC}">
              <c16:uniqueId val="{00000000-EDA9-447A-B34A-7F5482B615D8}"/>
            </c:ext>
          </c:extLst>
        </c:ser>
        <c:ser>
          <c:idx val="1"/>
          <c:order val="1"/>
          <c:tx>
            <c:strRef>
              <c:f>'February 7, 2022'!$C$2:$C$3</c:f>
              <c:strCache>
                <c:ptCount val="2"/>
                <c:pt idx="0">
                  <c:v>Total ICU</c:v>
                </c:pt>
                <c:pt idx="1">
                  <c:v>1033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7,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7, 2022'!$C$4:$C$16</c:f>
              <c:numCache>
                <c:formatCode>General</c:formatCode>
                <c:ptCount val="13"/>
                <c:pt idx="0">
                  <c:v>139</c:v>
                </c:pt>
                <c:pt idx="1">
                  <c:v>118</c:v>
                </c:pt>
                <c:pt idx="2">
                  <c:v>486</c:v>
                </c:pt>
                <c:pt idx="3">
                  <c:v>178</c:v>
                </c:pt>
                <c:pt idx="4">
                  <c:v>12</c:v>
                </c:pt>
                <c:pt idx="5">
                  <c:v>16</c:v>
                </c:pt>
                <c:pt idx="6">
                  <c:v>35</c:v>
                </c:pt>
                <c:pt idx="7">
                  <c:v>8</c:v>
                </c:pt>
                <c:pt idx="8">
                  <c:v>31</c:v>
                </c:pt>
                <c:pt idx="9">
                  <c:v>6</c:v>
                </c:pt>
                <c:pt idx="10">
                  <c:v>4</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64376"/>
        <c:axId val="451762808"/>
      </c:barChart>
      <c:catAx>
        <c:axId val="45176437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62808"/>
        <c:crosses val="autoZero"/>
        <c:auto val="1"/>
        <c:lblAlgn val="ctr"/>
        <c:lblOffset val="100"/>
        <c:noMultiLvlLbl val="0"/>
      </c:catAx>
      <c:valAx>
        <c:axId val="45176280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64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2022-02-04</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'February 4, 2022'!$B$2:$B$3</c:f>
              <c:strCache>
                <c:ptCount val="2"/>
                <c:pt idx="0">
                  <c:v>Total Hospital</c:v>
                </c:pt>
                <c:pt idx="1">
                  <c:v>8985</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4,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4, 2022'!$B$4:$B$16</c:f>
              <c:numCache>
                <c:formatCode>General</c:formatCode>
                <c:ptCount val="13"/>
                <c:pt idx="0">
                  <c:v>985</c:v>
                </c:pt>
                <c:pt idx="1">
                  <c:v>1584</c:v>
                </c:pt>
                <c:pt idx="2" formatCode="0">
                  <c:v>2634</c:v>
                </c:pt>
                <c:pt idx="3" formatCode="#,##0">
                  <c:v>2541</c:v>
                </c:pt>
                <c:pt idx="4">
                  <c:v>99</c:v>
                </c:pt>
                <c:pt idx="5">
                  <c:v>162</c:v>
                </c:pt>
                <c:pt idx="6">
                  <c:v>517</c:v>
                </c:pt>
                <c:pt idx="7">
                  <c:v>45</c:v>
                </c:pt>
                <c:pt idx="8">
                  <c:v>363</c:v>
                </c:pt>
                <c:pt idx="9">
                  <c:v>20</c:v>
                </c:pt>
                <c:pt idx="10">
                  <c:v>18</c:v>
                </c:pt>
                <c:pt idx="11">
                  <c:v>4</c:v>
                </c:pt>
                <c:pt idx="12">
                  <c:v>13</c:v>
                </c:pt>
              </c:numCache>
            </c:numRef>
          </c:val>
          <c:extLst>
            <c:ext xmlns:c16="http://schemas.microsoft.com/office/drawing/2014/chart" uri="{C3380CC4-5D6E-409C-BE32-E72D297353CC}">
              <c16:uniqueId val="{00000000-EDA9-447A-B34A-7F5482B615D8}"/>
            </c:ext>
          </c:extLst>
        </c:ser>
        <c:ser>
          <c:idx val="1"/>
          <c:order val="1"/>
          <c:tx>
            <c:strRef>
              <c:f>'February 4, 2022'!$C$2:$C$3</c:f>
              <c:strCache>
                <c:ptCount val="2"/>
                <c:pt idx="0">
                  <c:v>Total ICU</c:v>
                </c:pt>
                <c:pt idx="1">
                  <c:v>1090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4,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4, 2022'!$C$4:$C$16</c:f>
              <c:numCache>
                <c:formatCode>General</c:formatCode>
                <c:ptCount val="13"/>
                <c:pt idx="0">
                  <c:v>145</c:v>
                </c:pt>
                <c:pt idx="1">
                  <c:v>118</c:v>
                </c:pt>
                <c:pt idx="2">
                  <c:v>517</c:v>
                </c:pt>
                <c:pt idx="3">
                  <c:v>184</c:v>
                </c:pt>
                <c:pt idx="4">
                  <c:v>15</c:v>
                </c:pt>
                <c:pt idx="5">
                  <c:v>17</c:v>
                </c:pt>
                <c:pt idx="6">
                  <c:v>39</c:v>
                </c:pt>
                <c:pt idx="7">
                  <c:v>8</c:v>
                </c:pt>
                <c:pt idx="8">
                  <c:v>34</c:v>
                </c:pt>
                <c:pt idx="9">
                  <c:v>9</c:v>
                </c:pt>
                <c:pt idx="10">
                  <c:v>4</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67120"/>
        <c:axId val="451772608"/>
      </c:barChart>
      <c:catAx>
        <c:axId val="45176712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72608"/>
        <c:crosses val="autoZero"/>
        <c:auto val="1"/>
        <c:lblAlgn val="ctr"/>
        <c:lblOffset val="100"/>
        <c:noMultiLvlLbl val="0"/>
      </c:catAx>
      <c:valAx>
        <c:axId val="45177260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67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2022-02-02</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'February 2, 2022'!$B$2:$B$3</c:f>
              <c:strCache>
                <c:ptCount val="2"/>
                <c:pt idx="0">
                  <c:v>Total Hospital</c:v>
                </c:pt>
                <c:pt idx="1">
                  <c:v>9669</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2,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2, 2022'!$B$4:$B$16</c:f>
              <c:numCache>
                <c:formatCode>General</c:formatCode>
                <c:ptCount val="13"/>
                <c:pt idx="0">
                  <c:v>1035</c:v>
                </c:pt>
                <c:pt idx="1">
                  <c:v>1598</c:v>
                </c:pt>
                <c:pt idx="2" formatCode="0">
                  <c:v>2939</c:v>
                </c:pt>
                <c:pt idx="3" formatCode="#,##0">
                  <c:v>2730</c:v>
                </c:pt>
                <c:pt idx="4">
                  <c:v>92</c:v>
                </c:pt>
                <c:pt idx="5">
                  <c:v>165</c:v>
                </c:pt>
                <c:pt idx="6">
                  <c:v>642</c:v>
                </c:pt>
                <c:pt idx="7">
                  <c:v>44</c:v>
                </c:pt>
                <c:pt idx="8">
                  <c:v>372</c:v>
                </c:pt>
                <c:pt idx="9">
                  <c:v>20</c:v>
                </c:pt>
                <c:pt idx="10">
                  <c:v>18</c:v>
                </c:pt>
                <c:pt idx="11">
                  <c:v>1</c:v>
                </c:pt>
                <c:pt idx="12">
                  <c:v>13</c:v>
                </c:pt>
              </c:numCache>
            </c:numRef>
          </c:val>
          <c:extLst>
            <c:ext xmlns:c16="http://schemas.microsoft.com/office/drawing/2014/chart" uri="{C3380CC4-5D6E-409C-BE32-E72D297353CC}">
              <c16:uniqueId val="{00000000-EDA9-447A-B34A-7F5482B615D8}"/>
            </c:ext>
          </c:extLst>
        </c:ser>
        <c:ser>
          <c:idx val="1"/>
          <c:order val="1"/>
          <c:tx>
            <c:strRef>
              <c:f>'February 2, 2022'!$C$2:$C$3</c:f>
              <c:strCache>
                <c:ptCount val="2"/>
                <c:pt idx="0">
                  <c:v>Total ICU</c:v>
                </c:pt>
                <c:pt idx="1">
                  <c:v>1140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2,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2, 2022'!$C$4:$C$16</c:f>
              <c:numCache>
                <c:formatCode>General</c:formatCode>
                <c:ptCount val="13"/>
                <c:pt idx="0">
                  <c:v>139</c:v>
                </c:pt>
                <c:pt idx="1">
                  <c:v>106</c:v>
                </c:pt>
                <c:pt idx="2">
                  <c:v>555</c:v>
                </c:pt>
                <c:pt idx="3">
                  <c:v>204</c:v>
                </c:pt>
                <c:pt idx="4">
                  <c:v>13</c:v>
                </c:pt>
                <c:pt idx="5">
                  <c:v>16</c:v>
                </c:pt>
                <c:pt idx="6">
                  <c:v>47</c:v>
                </c:pt>
                <c:pt idx="7">
                  <c:v>7</c:v>
                </c:pt>
                <c:pt idx="8">
                  <c:v>40</c:v>
                </c:pt>
                <c:pt idx="9">
                  <c:v>9</c:v>
                </c:pt>
                <c:pt idx="10">
                  <c:v>4</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68296"/>
        <c:axId val="451771432"/>
      </c:barChart>
      <c:catAx>
        <c:axId val="45176829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71432"/>
        <c:crosses val="autoZero"/>
        <c:auto val="1"/>
        <c:lblAlgn val="ctr"/>
        <c:lblOffset val="100"/>
        <c:noMultiLvlLbl val="0"/>
      </c:catAx>
      <c:valAx>
        <c:axId val="45177143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68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2022-01-31</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'January 31, 2022'!$B$2:$B$3</c:f>
              <c:strCache>
                <c:ptCount val="2"/>
                <c:pt idx="0">
                  <c:v>Total Hospital</c:v>
                </c:pt>
                <c:pt idx="1">
                  <c:v>9882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31,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31, 2022'!$B$4:$B$16</c:f>
              <c:numCache>
                <c:formatCode>General</c:formatCode>
                <c:ptCount val="13"/>
                <c:pt idx="0">
                  <c:v>990</c:v>
                </c:pt>
                <c:pt idx="1">
                  <c:v>1496</c:v>
                </c:pt>
                <c:pt idx="2" formatCode="0">
                  <c:v>3019</c:v>
                </c:pt>
                <c:pt idx="3" formatCode="#,##0">
                  <c:v>3091</c:v>
                </c:pt>
                <c:pt idx="4">
                  <c:v>88</c:v>
                </c:pt>
                <c:pt idx="5">
                  <c:v>164</c:v>
                </c:pt>
                <c:pt idx="6">
                  <c:v>606</c:v>
                </c:pt>
                <c:pt idx="7">
                  <c:v>33</c:v>
                </c:pt>
                <c:pt idx="8">
                  <c:v>349</c:v>
                </c:pt>
                <c:pt idx="9">
                  <c:v>23</c:v>
                </c:pt>
                <c:pt idx="10">
                  <c:v>13</c:v>
                </c:pt>
                <c:pt idx="11">
                  <c:v>1</c:v>
                </c:pt>
                <c:pt idx="12">
                  <c:v>9</c:v>
                </c:pt>
              </c:numCache>
            </c:numRef>
          </c:val>
          <c:extLst>
            <c:ext xmlns:c16="http://schemas.microsoft.com/office/drawing/2014/chart" uri="{C3380CC4-5D6E-409C-BE32-E72D297353CC}">
              <c16:uniqueId val="{00000000-EDA9-447A-B34A-7F5482B615D8}"/>
            </c:ext>
          </c:extLst>
        </c:ser>
        <c:ser>
          <c:idx val="1"/>
          <c:order val="1"/>
          <c:tx>
            <c:strRef>
              <c:f>'January 31, 2022'!$C$2:$C$3</c:f>
              <c:strCache>
                <c:ptCount val="2"/>
                <c:pt idx="0">
                  <c:v>Total ICU</c:v>
                </c:pt>
                <c:pt idx="1">
                  <c:v>1192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31,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31, 2022'!$C$4:$C$16</c:f>
              <c:numCache>
                <c:formatCode>General</c:formatCode>
                <c:ptCount val="13"/>
                <c:pt idx="0">
                  <c:v>141</c:v>
                </c:pt>
                <c:pt idx="1">
                  <c:v>105</c:v>
                </c:pt>
                <c:pt idx="2">
                  <c:v>587</c:v>
                </c:pt>
                <c:pt idx="3">
                  <c:v>228</c:v>
                </c:pt>
                <c:pt idx="4">
                  <c:v>15</c:v>
                </c:pt>
                <c:pt idx="5">
                  <c:v>13</c:v>
                </c:pt>
                <c:pt idx="6">
                  <c:v>46</c:v>
                </c:pt>
                <c:pt idx="7">
                  <c:v>7</c:v>
                </c:pt>
                <c:pt idx="8">
                  <c:v>39</c:v>
                </c:pt>
                <c:pt idx="9">
                  <c:v>8</c:v>
                </c:pt>
                <c:pt idx="10">
                  <c:v>3</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63984"/>
        <c:axId val="451766336"/>
      </c:barChart>
      <c:catAx>
        <c:axId val="45176398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66336"/>
        <c:crosses val="autoZero"/>
        <c:auto val="1"/>
        <c:lblAlgn val="ctr"/>
        <c:lblOffset val="100"/>
        <c:noMultiLvlLbl val="0"/>
      </c:catAx>
      <c:valAx>
        <c:axId val="45176633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63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2022-01-28</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'January 28, 2022'!$B$2:$B$3</c:f>
              <c:strCache>
                <c:ptCount val="2"/>
                <c:pt idx="0">
                  <c:v>Total Hospital</c:v>
                </c:pt>
                <c:pt idx="1">
                  <c:v>10319</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28,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28, 2022'!$B$4:$B$16</c:f>
              <c:numCache>
                <c:formatCode>General</c:formatCode>
                <c:ptCount val="13"/>
                <c:pt idx="0">
                  <c:v>977</c:v>
                </c:pt>
                <c:pt idx="1">
                  <c:v>1469</c:v>
                </c:pt>
                <c:pt idx="2" formatCode="0">
                  <c:v>3535</c:v>
                </c:pt>
                <c:pt idx="3" formatCode="#,##0">
                  <c:v>3091</c:v>
                </c:pt>
                <c:pt idx="4">
                  <c:v>88</c:v>
                </c:pt>
                <c:pt idx="5">
                  <c:v>135</c:v>
                </c:pt>
                <c:pt idx="6">
                  <c:v>606</c:v>
                </c:pt>
                <c:pt idx="7">
                  <c:v>33</c:v>
                </c:pt>
                <c:pt idx="8">
                  <c:v>342</c:v>
                </c:pt>
                <c:pt idx="9">
                  <c:v>20</c:v>
                </c:pt>
                <c:pt idx="10">
                  <c:v>13</c:v>
                </c:pt>
                <c:pt idx="11">
                  <c:v>1</c:v>
                </c:pt>
                <c:pt idx="12">
                  <c:v>9</c:v>
                </c:pt>
              </c:numCache>
            </c:numRef>
          </c:val>
          <c:extLst>
            <c:ext xmlns:c16="http://schemas.microsoft.com/office/drawing/2014/chart" uri="{C3380CC4-5D6E-409C-BE32-E72D297353CC}">
              <c16:uniqueId val="{00000000-EDA9-447A-B34A-7F5482B615D8}"/>
            </c:ext>
          </c:extLst>
        </c:ser>
        <c:ser>
          <c:idx val="1"/>
          <c:order val="1"/>
          <c:tx>
            <c:strRef>
              <c:f>'January 28, 2022'!$C$2:$C$3</c:f>
              <c:strCache>
                <c:ptCount val="2"/>
                <c:pt idx="0">
                  <c:v>Total ICU</c:v>
                </c:pt>
                <c:pt idx="1">
                  <c:v>1211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28,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28, 2022'!$C$4:$C$16</c:f>
              <c:numCache>
                <c:formatCode>General</c:formatCode>
                <c:ptCount val="13"/>
                <c:pt idx="0">
                  <c:v>141</c:v>
                </c:pt>
                <c:pt idx="1">
                  <c:v>106</c:v>
                </c:pt>
                <c:pt idx="2">
                  <c:v>607</c:v>
                </c:pt>
                <c:pt idx="3">
                  <c:v>228</c:v>
                </c:pt>
                <c:pt idx="4">
                  <c:v>15</c:v>
                </c:pt>
                <c:pt idx="5">
                  <c:v>16</c:v>
                </c:pt>
                <c:pt idx="6">
                  <c:v>46</c:v>
                </c:pt>
                <c:pt idx="7">
                  <c:v>7</c:v>
                </c:pt>
                <c:pt idx="8">
                  <c:v>34</c:v>
                </c:pt>
                <c:pt idx="9">
                  <c:v>8</c:v>
                </c:pt>
                <c:pt idx="10">
                  <c:v>3</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73000"/>
        <c:axId val="451773392"/>
      </c:barChart>
      <c:catAx>
        <c:axId val="45177300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73392"/>
        <c:crosses val="autoZero"/>
        <c:auto val="1"/>
        <c:lblAlgn val="ctr"/>
        <c:lblOffset val="100"/>
        <c:noMultiLvlLbl val="0"/>
      </c:catAx>
      <c:valAx>
        <c:axId val="45177339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73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2022-01-26</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'January 26, 2022'!$B$2:$B$3</c:f>
              <c:strCache>
                <c:ptCount val="2"/>
                <c:pt idx="0">
                  <c:v>Total Hospital</c:v>
                </c:pt>
                <c:pt idx="1">
                  <c:v>10863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26,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26, 2022'!$B$4:$B$16</c:f>
              <c:numCache>
                <c:formatCode>General</c:formatCode>
                <c:ptCount val="13"/>
                <c:pt idx="0">
                  <c:v>930</c:v>
                </c:pt>
                <c:pt idx="1">
                  <c:v>1377</c:v>
                </c:pt>
                <c:pt idx="2" formatCode="0">
                  <c:v>4016</c:v>
                </c:pt>
                <c:pt idx="3" formatCode="#,##0">
                  <c:v>3270</c:v>
                </c:pt>
                <c:pt idx="4">
                  <c:v>91</c:v>
                </c:pt>
                <c:pt idx="5">
                  <c:v>137</c:v>
                </c:pt>
                <c:pt idx="6">
                  <c:v>655</c:v>
                </c:pt>
                <c:pt idx="7">
                  <c:v>31</c:v>
                </c:pt>
                <c:pt idx="8">
                  <c:v>315</c:v>
                </c:pt>
                <c:pt idx="9">
                  <c:v>20</c:v>
                </c:pt>
                <c:pt idx="10">
                  <c:v>11</c:v>
                </c:pt>
                <c:pt idx="11">
                  <c:v>1</c:v>
                </c:pt>
                <c:pt idx="12">
                  <c:v>9</c:v>
                </c:pt>
              </c:numCache>
            </c:numRef>
          </c:val>
          <c:extLst>
            <c:ext xmlns:c16="http://schemas.microsoft.com/office/drawing/2014/chart" uri="{C3380CC4-5D6E-409C-BE32-E72D297353CC}">
              <c16:uniqueId val="{00000000-EDA9-447A-B34A-7F5482B615D8}"/>
            </c:ext>
          </c:extLst>
        </c:ser>
        <c:ser>
          <c:idx val="1"/>
          <c:order val="1"/>
          <c:tx>
            <c:strRef>
              <c:f>'January 26, 2022'!$C$2:$C$3</c:f>
              <c:strCache>
                <c:ptCount val="2"/>
                <c:pt idx="0">
                  <c:v>Total ICU</c:v>
                </c:pt>
                <c:pt idx="1">
                  <c:v>1230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26,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26, 2022'!$C$4:$C$16</c:f>
              <c:numCache>
                <c:formatCode>General</c:formatCode>
                <c:ptCount val="13"/>
                <c:pt idx="0">
                  <c:v>144</c:v>
                </c:pt>
                <c:pt idx="1">
                  <c:v>111</c:v>
                </c:pt>
                <c:pt idx="2">
                  <c:v>608</c:v>
                </c:pt>
                <c:pt idx="3">
                  <c:v>252</c:v>
                </c:pt>
                <c:pt idx="4">
                  <c:v>15</c:v>
                </c:pt>
                <c:pt idx="5">
                  <c:v>8</c:v>
                </c:pt>
                <c:pt idx="6">
                  <c:v>44</c:v>
                </c:pt>
                <c:pt idx="7">
                  <c:v>7</c:v>
                </c:pt>
                <c:pt idx="8">
                  <c:v>33</c:v>
                </c:pt>
                <c:pt idx="9">
                  <c:v>5</c:v>
                </c:pt>
                <c:pt idx="10">
                  <c:v>3</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75352"/>
        <c:axId val="451778096"/>
      </c:barChart>
      <c:catAx>
        <c:axId val="45177535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78096"/>
        <c:crosses val="autoZero"/>
        <c:auto val="1"/>
        <c:lblAlgn val="ctr"/>
        <c:lblOffset val="100"/>
        <c:noMultiLvlLbl val="0"/>
      </c:catAx>
      <c:valAx>
        <c:axId val="45177809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75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2022-07-22</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'July 22, 2022'!$B$2:$B$3</c:f>
              <c:strCache>
                <c:ptCount val="2"/>
                <c:pt idx="0">
                  <c:v>Total Hospital</c:v>
                </c:pt>
                <c:pt idx="1">
                  <c:v>4945</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22,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22, 2022'!$B$4:$B$16</c:f>
              <c:numCache>
                <c:formatCode>General</c:formatCode>
                <c:ptCount val="13"/>
                <c:pt idx="0">
                  <c:v>406</c:v>
                </c:pt>
                <c:pt idx="1">
                  <c:v>559</c:v>
                </c:pt>
                <c:pt idx="2" formatCode="0">
                  <c:v>1483</c:v>
                </c:pt>
                <c:pt idx="3" formatCode="#,##0">
                  <c:v>2088</c:v>
                </c:pt>
                <c:pt idx="4">
                  <c:v>44</c:v>
                </c:pt>
                <c:pt idx="5">
                  <c:v>22</c:v>
                </c:pt>
                <c:pt idx="6">
                  <c:v>52</c:v>
                </c:pt>
                <c:pt idx="7">
                  <c:v>41</c:v>
                </c:pt>
                <c:pt idx="8">
                  <c:v>229</c:v>
                </c:pt>
                <c:pt idx="9">
                  <c:v>14</c:v>
                </c:pt>
                <c:pt idx="10">
                  <c:v>0</c:v>
                </c:pt>
                <c:pt idx="11">
                  <c:v>7</c:v>
                </c:pt>
                <c:pt idx="12">
                  <c:v>0</c:v>
                </c:pt>
              </c:numCache>
            </c:numRef>
          </c:val>
          <c:extLst>
            <c:ext xmlns:c16="http://schemas.microsoft.com/office/drawing/2014/chart" uri="{C3380CC4-5D6E-409C-BE32-E72D297353CC}">
              <c16:uniqueId val="{00000000-A7B7-4503-A10A-4DECCEFD50D6}"/>
            </c:ext>
          </c:extLst>
        </c:ser>
        <c:ser>
          <c:idx val="1"/>
          <c:order val="1"/>
          <c:tx>
            <c:strRef>
              <c:f>'July 22, 2022'!$C$2:$C$3</c:f>
              <c:strCache>
                <c:ptCount val="2"/>
                <c:pt idx="0">
                  <c:v>Total ICU</c:v>
                </c:pt>
                <c:pt idx="1">
                  <c:v>263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B7-4503-A10A-4DECCEFD50D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22,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22, 2022'!$C$4:$C$16</c:f>
              <c:numCache>
                <c:formatCode>General</c:formatCode>
                <c:ptCount val="13"/>
                <c:pt idx="0">
                  <c:v>30</c:v>
                </c:pt>
                <c:pt idx="1">
                  <c:v>23</c:v>
                </c:pt>
                <c:pt idx="2">
                  <c:v>126</c:v>
                </c:pt>
                <c:pt idx="3">
                  <c:v>54</c:v>
                </c:pt>
                <c:pt idx="4">
                  <c:v>8</c:v>
                </c:pt>
                <c:pt idx="5">
                  <c:v>1</c:v>
                </c:pt>
                <c:pt idx="6">
                  <c:v>2</c:v>
                </c:pt>
                <c:pt idx="7">
                  <c:v>1</c:v>
                </c:pt>
                <c:pt idx="8">
                  <c:v>15</c:v>
                </c:pt>
                <c:pt idx="9">
                  <c:v>3</c:v>
                </c:pt>
                <c:pt idx="10">
                  <c:v>0</c:v>
                </c:pt>
                <c:pt idx="11">
                  <c:v>0</c:v>
                </c:pt>
                <c:pt idx="12">
                  <c:v>0</c:v>
                </c:pt>
              </c:numCache>
            </c:numRef>
          </c:val>
          <c:extLst>
            <c:ext xmlns:c16="http://schemas.microsoft.com/office/drawing/2014/chart" uri="{C3380CC4-5D6E-409C-BE32-E72D297353CC}">
              <c16:uniqueId val="{00000002-A7B7-4503-A10A-4DECCEFD50D6}"/>
            </c:ext>
          </c:extLst>
        </c:ser>
        <c:dLbls>
          <c:dLblPos val="outEnd"/>
          <c:showLegendKey val="0"/>
          <c:showVal val="1"/>
          <c:showCatName val="0"/>
          <c:showSerName val="0"/>
          <c:showPercent val="0"/>
          <c:showBubbleSize val="0"/>
        </c:dLbls>
        <c:gapWidth val="100"/>
        <c:overlap val="-24"/>
        <c:axId val="528188568"/>
        <c:axId val="528192880"/>
      </c:barChart>
      <c:catAx>
        <c:axId val="5281885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92880"/>
        <c:crosses val="autoZero"/>
        <c:auto val="1"/>
        <c:lblAlgn val="ctr"/>
        <c:lblOffset val="100"/>
        <c:noMultiLvlLbl val="0"/>
      </c:catAx>
      <c:valAx>
        <c:axId val="5281928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88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2022-01-24</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'January 24, 2022'!$B$2:$B$3</c:f>
              <c:strCache>
                <c:ptCount val="2"/>
                <c:pt idx="0">
                  <c:v>Total Hospital</c:v>
                </c:pt>
                <c:pt idx="1">
                  <c:v>10392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24,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24, 2022'!$B$4:$B$16</c:f>
              <c:numCache>
                <c:formatCode>General</c:formatCode>
                <c:ptCount val="13"/>
                <c:pt idx="0">
                  <c:v>924</c:v>
                </c:pt>
                <c:pt idx="1">
                  <c:v>1191</c:v>
                </c:pt>
                <c:pt idx="2" formatCode="0">
                  <c:v>3861</c:v>
                </c:pt>
                <c:pt idx="3" formatCode="#,##0">
                  <c:v>3299</c:v>
                </c:pt>
                <c:pt idx="4">
                  <c:v>94</c:v>
                </c:pt>
                <c:pt idx="5">
                  <c:v>126</c:v>
                </c:pt>
                <c:pt idx="6">
                  <c:v>586</c:v>
                </c:pt>
                <c:pt idx="7">
                  <c:v>21</c:v>
                </c:pt>
                <c:pt idx="8">
                  <c:v>252</c:v>
                </c:pt>
                <c:pt idx="9">
                  <c:v>19</c:v>
                </c:pt>
                <c:pt idx="10">
                  <c:v>9</c:v>
                </c:pt>
                <c:pt idx="11">
                  <c:v>0</c:v>
                </c:pt>
                <c:pt idx="12">
                  <c:v>10</c:v>
                </c:pt>
              </c:numCache>
            </c:numRef>
          </c:val>
          <c:extLst>
            <c:ext xmlns:c16="http://schemas.microsoft.com/office/drawing/2014/chart" uri="{C3380CC4-5D6E-409C-BE32-E72D297353CC}">
              <c16:uniqueId val="{00000000-EDA9-447A-B34A-7F5482B615D8}"/>
            </c:ext>
          </c:extLst>
        </c:ser>
        <c:ser>
          <c:idx val="1"/>
          <c:order val="1"/>
          <c:tx>
            <c:strRef>
              <c:f>'January 24, 2022'!$C$2:$C$3</c:f>
              <c:strCache>
                <c:ptCount val="2"/>
                <c:pt idx="0">
                  <c:v>Total ICU</c:v>
                </c:pt>
                <c:pt idx="1">
                  <c:v>1214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24,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24, 2022'!$C$4:$C$16</c:f>
              <c:numCache>
                <c:formatCode>General</c:formatCode>
                <c:ptCount val="13"/>
                <c:pt idx="0">
                  <c:v>130</c:v>
                </c:pt>
                <c:pt idx="1">
                  <c:v>107</c:v>
                </c:pt>
                <c:pt idx="2">
                  <c:v>615</c:v>
                </c:pt>
                <c:pt idx="3">
                  <c:v>263</c:v>
                </c:pt>
                <c:pt idx="4">
                  <c:v>13</c:v>
                </c:pt>
                <c:pt idx="5">
                  <c:v>10</c:v>
                </c:pt>
                <c:pt idx="6">
                  <c:v>44</c:v>
                </c:pt>
                <c:pt idx="7">
                  <c:v>5</c:v>
                </c:pt>
                <c:pt idx="8">
                  <c:v>26</c:v>
                </c:pt>
                <c:pt idx="9">
                  <c:v>0</c:v>
                </c:pt>
                <c:pt idx="10">
                  <c:v>1</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80448"/>
        <c:axId val="451785544"/>
      </c:barChart>
      <c:catAx>
        <c:axId val="45178044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85544"/>
        <c:crosses val="autoZero"/>
        <c:auto val="1"/>
        <c:lblAlgn val="ctr"/>
        <c:lblOffset val="100"/>
        <c:noMultiLvlLbl val="0"/>
      </c:catAx>
      <c:valAx>
        <c:axId val="45178554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80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2022-01-21</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'January 21, 2022'!$B$2:$B$3</c:f>
              <c:strCache>
                <c:ptCount val="2"/>
                <c:pt idx="0">
                  <c:v>Total Hospital</c:v>
                </c:pt>
                <c:pt idx="1">
                  <c:v>10563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21,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21, 2022'!$B$4:$B$16</c:f>
              <c:numCache>
                <c:formatCode>General</c:formatCode>
                <c:ptCount val="13"/>
                <c:pt idx="0">
                  <c:v>891</c:v>
                </c:pt>
                <c:pt idx="1">
                  <c:v>1131</c:v>
                </c:pt>
                <c:pt idx="2" formatCode="0">
                  <c:v>4114</c:v>
                </c:pt>
                <c:pt idx="3" formatCode="#,##0">
                  <c:v>3351</c:v>
                </c:pt>
                <c:pt idx="4">
                  <c:v>94</c:v>
                </c:pt>
                <c:pt idx="5">
                  <c:v>124</c:v>
                </c:pt>
                <c:pt idx="6">
                  <c:v>586</c:v>
                </c:pt>
                <c:pt idx="7">
                  <c:v>20</c:v>
                </c:pt>
                <c:pt idx="8">
                  <c:v>215</c:v>
                </c:pt>
                <c:pt idx="9">
                  <c:v>18</c:v>
                </c:pt>
                <c:pt idx="10">
                  <c:v>9</c:v>
                </c:pt>
                <c:pt idx="11">
                  <c:v>0</c:v>
                </c:pt>
                <c:pt idx="12">
                  <c:v>10</c:v>
                </c:pt>
              </c:numCache>
            </c:numRef>
          </c:val>
          <c:extLst>
            <c:ext xmlns:c16="http://schemas.microsoft.com/office/drawing/2014/chart" uri="{C3380CC4-5D6E-409C-BE32-E72D297353CC}">
              <c16:uniqueId val="{00000000-EDA9-447A-B34A-7F5482B615D8}"/>
            </c:ext>
          </c:extLst>
        </c:ser>
        <c:ser>
          <c:idx val="1"/>
          <c:order val="1"/>
          <c:tx>
            <c:strRef>
              <c:f>'January 21, 2022'!$C$2:$C$3</c:f>
              <c:strCache>
                <c:ptCount val="2"/>
                <c:pt idx="0">
                  <c:v>Total ICU</c:v>
                </c:pt>
                <c:pt idx="1">
                  <c:v>1177</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21,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21, 2022'!$C$4:$C$16</c:f>
              <c:numCache>
                <c:formatCode>General</c:formatCode>
                <c:ptCount val="13"/>
                <c:pt idx="0">
                  <c:v>115</c:v>
                </c:pt>
                <c:pt idx="1">
                  <c:v>108</c:v>
                </c:pt>
                <c:pt idx="2">
                  <c:v>590</c:v>
                </c:pt>
                <c:pt idx="3">
                  <c:v>265</c:v>
                </c:pt>
                <c:pt idx="4">
                  <c:v>13</c:v>
                </c:pt>
                <c:pt idx="5">
                  <c:v>12</c:v>
                </c:pt>
                <c:pt idx="6">
                  <c:v>44</c:v>
                </c:pt>
                <c:pt idx="7">
                  <c:v>5</c:v>
                </c:pt>
                <c:pt idx="8">
                  <c:v>23</c:v>
                </c:pt>
                <c:pt idx="9">
                  <c:v>1</c:v>
                </c:pt>
                <c:pt idx="10">
                  <c:v>1</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79664"/>
        <c:axId val="451777312"/>
      </c:barChart>
      <c:catAx>
        <c:axId val="45177966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77312"/>
        <c:crosses val="autoZero"/>
        <c:auto val="1"/>
        <c:lblAlgn val="ctr"/>
        <c:lblOffset val="100"/>
        <c:noMultiLvlLbl val="0"/>
      </c:catAx>
      <c:valAx>
        <c:axId val="45177731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79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2022-01-19</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'January 19, 2022'!$B$2:$B$3</c:f>
              <c:strCache>
                <c:ptCount val="2"/>
                <c:pt idx="0">
                  <c:v>Total Hospital</c:v>
                </c:pt>
                <c:pt idx="1">
                  <c:v>10557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19,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19, 2022'!$B$4:$B$16</c:f>
              <c:numCache>
                <c:formatCode>General</c:formatCode>
                <c:ptCount val="13"/>
                <c:pt idx="0">
                  <c:v>854</c:v>
                </c:pt>
                <c:pt idx="1">
                  <c:v>1089</c:v>
                </c:pt>
                <c:pt idx="2" formatCode="0">
                  <c:v>4132</c:v>
                </c:pt>
                <c:pt idx="3" formatCode="#,##0">
                  <c:v>3425</c:v>
                </c:pt>
                <c:pt idx="4">
                  <c:v>83</c:v>
                </c:pt>
                <c:pt idx="5">
                  <c:v>123</c:v>
                </c:pt>
                <c:pt idx="6">
                  <c:v>601</c:v>
                </c:pt>
                <c:pt idx="7">
                  <c:v>20</c:v>
                </c:pt>
                <c:pt idx="8">
                  <c:v>199</c:v>
                </c:pt>
                <c:pt idx="9">
                  <c:v>14</c:v>
                </c:pt>
                <c:pt idx="10">
                  <c:v>7</c:v>
                </c:pt>
                <c:pt idx="11">
                  <c:v>0</c:v>
                </c:pt>
                <c:pt idx="12">
                  <c:v>10</c:v>
                </c:pt>
              </c:numCache>
            </c:numRef>
          </c:val>
          <c:extLst>
            <c:ext xmlns:c16="http://schemas.microsoft.com/office/drawing/2014/chart" uri="{C3380CC4-5D6E-409C-BE32-E72D297353CC}">
              <c16:uniqueId val="{00000000-EDA9-447A-B34A-7F5482B615D8}"/>
            </c:ext>
          </c:extLst>
        </c:ser>
        <c:ser>
          <c:idx val="1"/>
          <c:order val="1"/>
          <c:tx>
            <c:strRef>
              <c:f>'January 19, 2022'!$C$2:$C$3</c:f>
              <c:strCache>
                <c:ptCount val="2"/>
                <c:pt idx="0">
                  <c:v>Total ICU</c:v>
                </c:pt>
                <c:pt idx="1">
                  <c:v>1191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19,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19, 2022'!$C$4:$C$16</c:f>
              <c:numCache>
                <c:formatCode>General</c:formatCode>
                <c:ptCount val="13"/>
                <c:pt idx="0">
                  <c:v>112</c:v>
                </c:pt>
                <c:pt idx="1">
                  <c:v>104</c:v>
                </c:pt>
                <c:pt idx="2">
                  <c:v>589</c:v>
                </c:pt>
                <c:pt idx="3">
                  <c:v>285</c:v>
                </c:pt>
                <c:pt idx="4">
                  <c:v>12</c:v>
                </c:pt>
                <c:pt idx="5">
                  <c:v>11</c:v>
                </c:pt>
                <c:pt idx="6">
                  <c:v>49</c:v>
                </c:pt>
                <c:pt idx="7">
                  <c:v>5</c:v>
                </c:pt>
                <c:pt idx="8">
                  <c:v>21</c:v>
                </c:pt>
                <c:pt idx="9">
                  <c:v>3</c:v>
                </c:pt>
                <c:pt idx="10">
                  <c:v>0</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83976"/>
        <c:axId val="451776920"/>
      </c:barChart>
      <c:catAx>
        <c:axId val="45178397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76920"/>
        <c:crosses val="autoZero"/>
        <c:auto val="1"/>
        <c:lblAlgn val="ctr"/>
        <c:lblOffset val="100"/>
        <c:noMultiLvlLbl val="0"/>
      </c:catAx>
      <c:valAx>
        <c:axId val="45177692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83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2022-01-17</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'January 17, 2022'!$B$2:$B$3</c:f>
              <c:strCache>
                <c:ptCount val="2"/>
                <c:pt idx="0">
                  <c:v>Total Hospital</c:v>
                </c:pt>
                <c:pt idx="1">
                  <c:v>9694</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17,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17, 2022'!$B$4:$B$16</c:f>
              <c:numCache>
                <c:formatCode>General</c:formatCode>
                <c:ptCount val="13"/>
                <c:pt idx="0">
                  <c:v>646</c:v>
                </c:pt>
                <c:pt idx="1">
                  <c:v>822</c:v>
                </c:pt>
                <c:pt idx="2" formatCode="0">
                  <c:v>3887</c:v>
                </c:pt>
                <c:pt idx="3" formatCode="#,##0">
                  <c:v>3381</c:v>
                </c:pt>
                <c:pt idx="4">
                  <c:v>73</c:v>
                </c:pt>
                <c:pt idx="5">
                  <c:v>113</c:v>
                </c:pt>
                <c:pt idx="6">
                  <c:v>569</c:v>
                </c:pt>
                <c:pt idx="7">
                  <c:v>17</c:v>
                </c:pt>
                <c:pt idx="8">
                  <c:v>167</c:v>
                </c:pt>
                <c:pt idx="9">
                  <c:v>15</c:v>
                </c:pt>
                <c:pt idx="10">
                  <c:v>2</c:v>
                </c:pt>
                <c:pt idx="11">
                  <c:v>2</c:v>
                </c:pt>
                <c:pt idx="12">
                  <c:v>0</c:v>
                </c:pt>
              </c:numCache>
            </c:numRef>
          </c:val>
          <c:extLst>
            <c:ext xmlns:c16="http://schemas.microsoft.com/office/drawing/2014/chart" uri="{C3380CC4-5D6E-409C-BE32-E72D297353CC}">
              <c16:uniqueId val="{00000000-EDA9-447A-B34A-7F5482B615D8}"/>
            </c:ext>
          </c:extLst>
        </c:ser>
        <c:ser>
          <c:idx val="1"/>
          <c:order val="1"/>
          <c:tx>
            <c:strRef>
              <c:f>'January 17, 2022'!$C$2:$C$3</c:f>
              <c:strCache>
                <c:ptCount val="2"/>
                <c:pt idx="0">
                  <c:v>Total ICU</c:v>
                </c:pt>
                <c:pt idx="1">
                  <c:v>1130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17,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17, 2022'!$C$4:$C$16</c:f>
              <c:numCache>
                <c:formatCode>General</c:formatCode>
                <c:ptCount val="13"/>
                <c:pt idx="0">
                  <c:v>95</c:v>
                </c:pt>
                <c:pt idx="1">
                  <c:v>81</c:v>
                </c:pt>
                <c:pt idx="2">
                  <c:v>578</c:v>
                </c:pt>
                <c:pt idx="3">
                  <c:v>286</c:v>
                </c:pt>
                <c:pt idx="4">
                  <c:v>13</c:v>
                </c:pt>
                <c:pt idx="5">
                  <c:v>16</c:v>
                </c:pt>
                <c:pt idx="6">
                  <c:v>45</c:v>
                </c:pt>
                <c:pt idx="7">
                  <c:v>3</c:v>
                </c:pt>
                <c:pt idx="8">
                  <c:v>13</c:v>
                </c:pt>
                <c:pt idx="9">
                  <c:v>0</c:v>
                </c:pt>
                <c:pt idx="10">
                  <c:v>0</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80840"/>
        <c:axId val="451782800"/>
      </c:barChart>
      <c:catAx>
        <c:axId val="45178084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82800"/>
        <c:crosses val="autoZero"/>
        <c:auto val="1"/>
        <c:lblAlgn val="ctr"/>
        <c:lblOffset val="100"/>
        <c:noMultiLvlLbl val="0"/>
      </c:catAx>
      <c:valAx>
        <c:axId val="45178280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80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2022-01-13</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'January 13, 2022'!$B$2:$B$3</c:f>
              <c:strCache>
                <c:ptCount val="2"/>
                <c:pt idx="0">
                  <c:v>Total Hospital</c:v>
                </c:pt>
                <c:pt idx="1">
                  <c:v>8475</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13,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13, 2022'!$B$4:$B$16</c:f>
              <c:numCache>
                <c:formatCode>General</c:formatCode>
                <c:ptCount val="13"/>
                <c:pt idx="0">
                  <c:v>500</c:v>
                </c:pt>
                <c:pt idx="1">
                  <c:v>748</c:v>
                </c:pt>
                <c:pt idx="2" formatCode="0">
                  <c:v>3630</c:v>
                </c:pt>
                <c:pt idx="3" formatCode="#,##0">
                  <c:v>2877</c:v>
                </c:pt>
                <c:pt idx="4">
                  <c:v>65</c:v>
                </c:pt>
                <c:pt idx="5">
                  <c:v>94</c:v>
                </c:pt>
                <c:pt idx="6">
                  <c:v>419</c:v>
                </c:pt>
                <c:pt idx="7">
                  <c:v>11</c:v>
                </c:pt>
                <c:pt idx="8">
                  <c:v>121</c:v>
                </c:pt>
                <c:pt idx="9">
                  <c:v>7</c:v>
                </c:pt>
                <c:pt idx="10">
                  <c:v>1</c:v>
                </c:pt>
                <c:pt idx="11">
                  <c:v>2</c:v>
                </c:pt>
                <c:pt idx="12">
                  <c:v>0</c:v>
                </c:pt>
              </c:numCache>
            </c:numRef>
          </c:val>
          <c:extLst>
            <c:ext xmlns:c16="http://schemas.microsoft.com/office/drawing/2014/chart" uri="{C3380CC4-5D6E-409C-BE32-E72D297353CC}">
              <c16:uniqueId val="{00000000-EDA9-447A-B34A-7F5482B615D8}"/>
            </c:ext>
          </c:extLst>
        </c:ser>
        <c:ser>
          <c:idx val="1"/>
          <c:order val="1"/>
          <c:tx>
            <c:strRef>
              <c:f>'January 13, 2022'!$C$2:$C$3</c:f>
              <c:strCache>
                <c:ptCount val="2"/>
                <c:pt idx="0">
                  <c:v>Total ICU</c:v>
                </c:pt>
                <c:pt idx="1">
                  <c:v>1018</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13,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13, 2022'!$C$4:$C$16</c:f>
              <c:numCache>
                <c:formatCode>General</c:formatCode>
                <c:ptCount val="13"/>
                <c:pt idx="0">
                  <c:v>102</c:v>
                </c:pt>
                <c:pt idx="1">
                  <c:v>82</c:v>
                </c:pt>
                <c:pt idx="2">
                  <c:v>500</c:v>
                </c:pt>
                <c:pt idx="3">
                  <c:v>263</c:v>
                </c:pt>
                <c:pt idx="4">
                  <c:v>5</c:v>
                </c:pt>
                <c:pt idx="5">
                  <c:v>10</c:v>
                </c:pt>
                <c:pt idx="6">
                  <c:v>45</c:v>
                </c:pt>
                <c:pt idx="7">
                  <c:v>2</c:v>
                </c:pt>
                <c:pt idx="8">
                  <c:v>9</c:v>
                </c:pt>
                <c:pt idx="9">
                  <c:v>0</c:v>
                </c:pt>
                <c:pt idx="10">
                  <c:v>0</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73784"/>
        <c:axId val="451781624"/>
      </c:barChart>
      <c:catAx>
        <c:axId val="45177378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81624"/>
        <c:crosses val="autoZero"/>
        <c:auto val="1"/>
        <c:lblAlgn val="ctr"/>
        <c:lblOffset val="100"/>
        <c:noMultiLvlLbl val="0"/>
      </c:catAx>
      <c:valAx>
        <c:axId val="45178162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73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2022-01-11</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'January 11, 2022'!$B$2:$B$3</c:f>
              <c:strCache>
                <c:ptCount val="2"/>
                <c:pt idx="0">
                  <c:v>Total Hospital</c:v>
                </c:pt>
                <c:pt idx="1">
                  <c:v>7681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11,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11, 2022'!$B$4:$B$16</c:f>
              <c:numCache>
                <c:formatCode>General</c:formatCode>
                <c:ptCount val="13"/>
                <c:pt idx="0">
                  <c:v>431</c:v>
                </c:pt>
                <c:pt idx="1">
                  <c:v>635</c:v>
                </c:pt>
                <c:pt idx="2" formatCode="0">
                  <c:v>3220</c:v>
                </c:pt>
                <c:pt idx="3" formatCode="#,##0">
                  <c:v>2742</c:v>
                </c:pt>
                <c:pt idx="4">
                  <c:v>58</c:v>
                </c:pt>
                <c:pt idx="5">
                  <c:v>86</c:v>
                </c:pt>
                <c:pt idx="6">
                  <c:v>381</c:v>
                </c:pt>
                <c:pt idx="7">
                  <c:v>5</c:v>
                </c:pt>
                <c:pt idx="8">
                  <c:v>119</c:v>
                </c:pt>
                <c:pt idx="9">
                  <c:v>4</c:v>
                </c:pt>
                <c:pt idx="10">
                  <c:v>0</c:v>
                </c:pt>
                <c:pt idx="11">
                  <c:v>0</c:v>
                </c:pt>
                <c:pt idx="12">
                  <c:v>0</c:v>
                </c:pt>
              </c:numCache>
            </c:numRef>
          </c:val>
          <c:extLst>
            <c:ext xmlns:c16="http://schemas.microsoft.com/office/drawing/2014/chart" uri="{C3380CC4-5D6E-409C-BE32-E72D297353CC}">
              <c16:uniqueId val="{00000000-EDA9-447A-B34A-7F5482B615D8}"/>
            </c:ext>
          </c:extLst>
        </c:ser>
        <c:ser>
          <c:idx val="1"/>
          <c:order val="1"/>
          <c:tx>
            <c:strRef>
              <c:f>'January 11, 2022'!$C$2:$C$3</c:f>
              <c:strCache>
                <c:ptCount val="2"/>
                <c:pt idx="0">
                  <c:v>Total ICU</c:v>
                </c:pt>
                <c:pt idx="1">
                  <c:v>969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11,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11, 2022'!$C$4:$C$16</c:f>
              <c:numCache>
                <c:formatCode>General</c:formatCode>
                <c:ptCount val="13"/>
                <c:pt idx="0">
                  <c:v>95</c:v>
                </c:pt>
                <c:pt idx="1">
                  <c:v>72</c:v>
                </c:pt>
                <c:pt idx="2">
                  <c:v>477</c:v>
                </c:pt>
                <c:pt idx="3">
                  <c:v>255</c:v>
                </c:pt>
                <c:pt idx="4">
                  <c:v>4</c:v>
                </c:pt>
                <c:pt idx="5">
                  <c:v>13</c:v>
                </c:pt>
                <c:pt idx="6">
                  <c:v>41</c:v>
                </c:pt>
                <c:pt idx="7">
                  <c:v>1</c:v>
                </c:pt>
                <c:pt idx="8">
                  <c:v>11</c:v>
                </c:pt>
                <c:pt idx="9">
                  <c:v>0</c:v>
                </c:pt>
                <c:pt idx="10">
                  <c:v>0</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84368"/>
        <c:axId val="451782016"/>
      </c:barChart>
      <c:catAx>
        <c:axId val="4517843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82016"/>
        <c:crosses val="autoZero"/>
        <c:auto val="1"/>
        <c:lblAlgn val="ctr"/>
        <c:lblOffset val="100"/>
        <c:noMultiLvlLbl val="0"/>
      </c:catAx>
      <c:valAx>
        <c:axId val="45178201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84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2022-01-06</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'January 6, 2022'!$B$2:$B$3</c:f>
              <c:strCache>
                <c:ptCount val="2"/>
                <c:pt idx="0">
                  <c:v>Total Hospital</c:v>
                </c:pt>
                <c:pt idx="1">
                  <c:v>5490</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6,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6, 2022'!$B$4:$B$16</c:f>
              <c:numCache>
                <c:formatCode>General</c:formatCode>
                <c:ptCount val="13"/>
                <c:pt idx="0">
                  <c:v>317</c:v>
                </c:pt>
                <c:pt idx="1">
                  <c:v>470</c:v>
                </c:pt>
                <c:pt idx="2" formatCode="0">
                  <c:v>2279</c:v>
                </c:pt>
                <c:pt idx="3" formatCode="#,##0">
                  <c:v>1953</c:v>
                </c:pt>
                <c:pt idx="4">
                  <c:v>48</c:v>
                </c:pt>
                <c:pt idx="5">
                  <c:v>63</c:v>
                </c:pt>
                <c:pt idx="6">
                  <c:v>252</c:v>
                </c:pt>
                <c:pt idx="7">
                  <c:v>4</c:v>
                </c:pt>
                <c:pt idx="8">
                  <c:v>100</c:v>
                </c:pt>
                <c:pt idx="9">
                  <c:v>4</c:v>
                </c:pt>
                <c:pt idx="10">
                  <c:v>0</c:v>
                </c:pt>
                <c:pt idx="11">
                  <c:v>0</c:v>
                </c:pt>
                <c:pt idx="12">
                  <c:v>0</c:v>
                </c:pt>
              </c:numCache>
            </c:numRef>
          </c:val>
          <c:extLst>
            <c:ext xmlns:c16="http://schemas.microsoft.com/office/drawing/2014/chart" uri="{C3380CC4-5D6E-409C-BE32-E72D297353CC}">
              <c16:uniqueId val="{00000000-EDA9-447A-B34A-7F5482B615D8}"/>
            </c:ext>
          </c:extLst>
        </c:ser>
        <c:ser>
          <c:idx val="1"/>
          <c:order val="1"/>
          <c:tx>
            <c:strRef>
              <c:f>'January 6, 2022'!$C$2:$C$3</c:f>
              <c:strCache>
                <c:ptCount val="2"/>
                <c:pt idx="0">
                  <c:v>Total ICU</c:v>
                </c:pt>
                <c:pt idx="1">
                  <c:v>752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6,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6, 2022'!$C$4:$C$16</c:f>
              <c:numCache>
                <c:formatCode>General</c:formatCode>
                <c:ptCount val="13"/>
                <c:pt idx="0">
                  <c:v>83</c:v>
                </c:pt>
                <c:pt idx="1">
                  <c:v>72</c:v>
                </c:pt>
                <c:pt idx="2">
                  <c:v>319</c:v>
                </c:pt>
                <c:pt idx="3">
                  <c:v>207</c:v>
                </c:pt>
                <c:pt idx="4">
                  <c:v>9</c:v>
                </c:pt>
                <c:pt idx="5">
                  <c:v>19</c:v>
                </c:pt>
                <c:pt idx="6">
                  <c:v>30</c:v>
                </c:pt>
                <c:pt idx="7">
                  <c:v>1</c:v>
                </c:pt>
                <c:pt idx="8">
                  <c:v>12</c:v>
                </c:pt>
                <c:pt idx="9">
                  <c:v>0</c:v>
                </c:pt>
                <c:pt idx="10">
                  <c:v>0</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75744"/>
        <c:axId val="451782408"/>
      </c:barChart>
      <c:catAx>
        <c:axId val="45177574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82408"/>
        <c:crosses val="autoZero"/>
        <c:auto val="1"/>
        <c:lblAlgn val="ctr"/>
        <c:lblOffset val="100"/>
        <c:noMultiLvlLbl val="0"/>
      </c:catAx>
      <c:valAx>
        <c:axId val="45178240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7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2021-12-10</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'December 10, 2021'!$B$2:$B$3</c:f>
              <c:strCache>
                <c:ptCount val="2"/>
                <c:pt idx="0">
                  <c:v>Total Hospital</c:v>
                </c:pt>
                <c:pt idx="1">
                  <c:v>1894</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'December 10,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'December 10, 2021'!$B$4:$B$16</c:f>
              <c:numCache>
                <c:formatCode>General</c:formatCode>
                <c:ptCount val="13"/>
                <c:pt idx="0">
                  <c:v>293</c:v>
                </c:pt>
                <c:pt idx="1">
                  <c:v>438</c:v>
                </c:pt>
                <c:pt idx="2" formatCode="0">
                  <c:v>464</c:v>
                </c:pt>
                <c:pt idx="3" formatCode="#,##0">
                  <c:v>315</c:v>
                </c:pt>
                <c:pt idx="4">
                  <c:v>13</c:v>
                </c:pt>
                <c:pt idx="5">
                  <c:v>56</c:v>
                </c:pt>
                <c:pt idx="6">
                  <c:v>116</c:v>
                </c:pt>
                <c:pt idx="7">
                  <c:v>0</c:v>
                </c:pt>
                <c:pt idx="8">
                  <c:v>118</c:v>
                </c:pt>
                <c:pt idx="9">
                  <c:v>0</c:v>
                </c:pt>
                <c:pt idx="10">
                  <c:v>81</c:v>
                </c:pt>
                <c:pt idx="11">
                  <c:v>0</c:v>
                </c:pt>
                <c:pt idx="12">
                  <c:v>0</c:v>
                </c:pt>
              </c:numCache>
            </c:numRef>
          </c:val>
          <c:extLst>
            <c:ext xmlns:c16="http://schemas.microsoft.com/office/drawing/2014/chart" uri="{C3380CC4-5D6E-409C-BE32-E72D297353CC}">
              <c16:uniqueId val="{00000000-EDA9-447A-B34A-7F5482B615D8}"/>
            </c:ext>
          </c:extLst>
        </c:ser>
        <c:ser>
          <c:idx val="1"/>
          <c:order val="1"/>
          <c:tx>
            <c:strRef>
              <c:f>'December 10, 2021'!$C$2:$C$3</c:f>
              <c:strCache>
                <c:ptCount val="2"/>
                <c:pt idx="0">
                  <c:v>Total ICU</c:v>
                </c:pt>
                <c:pt idx="1">
                  <c:v>455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'December 10,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'December 10, 2021'!$C$4:$C$16</c:f>
              <c:numCache>
                <c:formatCode>General</c:formatCode>
                <c:ptCount val="13"/>
                <c:pt idx="0">
                  <c:v>73</c:v>
                </c:pt>
                <c:pt idx="1">
                  <c:v>70</c:v>
                </c:pt>
                <c:pt idx="2">
                  <c:v>155</c:v>
                </c:pt>
                <c:pt idx="3">
                  <c:v>60</c:v>
                </c:pt>
                <c:pt idx="4">
                  <c:v>4</c:v>
                </c:pt>
                <c:pt idx="5">
                  <c:v>16</c:v>
                </c:pt>
                <c:pt idx="6">
                  <c:v>27</c:v>
                </c:pt>
                <c:pt idx="7">
                  <c:v>0</c:v>
                </c:pt>
                <c:pt idx="8">
                  <c:v>30</c:v>
                </c:pt>
                <c:pt idx="9">
                  <c:v>0</c:v>
                </c:pt>
                <c:pt idx="10">
                  <c:v>20</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83192"/>
        <c:axId val="451783584"/>
      </c:barChart>
      <c:catAx>
        <c:axId val="45178319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83584"/>
        <c:crosses val="autoZero"/>
        <c:auto val="1"/>
        <c:lblAlgn val="ctr"/>
        <c:lblOffset val="100"/>
        <c:noMultiLvlLbl val="0"/>
      </c:catAx>
      <c:valAx>
        <c:axId val="45178358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83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2021-12-8</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'December 8, 2021'!$B$2:$B$3</c:f>
              <c:strCache>
                <c:ptCount val="2"/>
                <c:pt idx="0">
                  <c:v>Total Hospital</c:v>
                </c:pt>
                <c:pt idx="1">
                  <c:v>1973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'December 8,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'December 8, 2021'!$B$4:$B$16</c:f>
              <c:numCache>
                <c:formatCode>General</c:formatCode>
                <c:ptCount val="13"/>
                <c:pt idx="0">
                  <c:v>324</c:v>
                </c:pt>
                <c:pt idx="1">
                  <c:v>449</c:v>
                </c:pt>
                <c:pt idx="2" formatCode="0">
                  <c:v>488</c:v>
                </c:pt>
                <c:pt idx="3" formatCode="#,##0">
                  <c:v>301</c:v>
                </c:pt>
                <c:pt idx="4">
                  <c:v>15</c:v>
                </c:pt>
                <c:pt idx="5">
                  <c:v>65</c:v>
                </c:pt>
                <c:pt idx="6">
                  <c:v>119</c:v>
                </c:pt>
                <c:pt idx="7">
                  <c:v>0</c:v>
                </c:pt>
                <c:pt idx="8">
                  <c:v>131</c:v>
                </c:pt>
                <c:pt idx="9">
                  <c:v>0</c:v>
                </c:pt>
                <c:pt idx="10">
                  <c:v>81</c:v>
                </c:pt>
                <c:pt idx="11">
                  <c:v>0</c:v>
                </c:pt>
                <c:pt idx="12">
                  <c:v>0</c:v>
                </c:pt>
              </c:numCache>
            </c:numRef>
          </c:val>
          <c:extLst>
            <c:ext xmlns:c16="http://schemas.microsoft.com/office/drawing/2014/chart" uri="{C3380CC4-5D6E-409C-BE32-E72D297353CC}">
              <c16:uniqueId val="{00000000-EDA9-447A-B34A-7F5482B615D8}"/>
            </c:ext>
          </c:extLst>
        </c:ser>
        <c:ser>
          <c:idx val="1"/>
          <c:order val="1"/>
          <c:tx>
            <c:strRef>
              <c:f>'December 8, 2021'!$C$2:$C$3</c:f>
              <c:strCache>
                <c:ptCount val="2"/>
                <c:pt idx="0">
                  <c:v>Total ICU</c:v>
                </c:pt>
                <c:pt idx="1">
                  <c:v>469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'December 8,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'December 8, 2021'!$C$4:$C$16</c:f>
              <c:numCache>
                <c:formatCode>General</c:formatCode>
                <c:ptCount val="13"/>
                <c:pt idx="0">
                  <c:v>82</c:v>
                </c:pt>
                <c:pt idx="1">
                  <c:v>76</c:v>
                </c:pt>
                <c:pt idx="2">
                  <c:v>155</c:v>
                </c:pt>
                <c:pt idx="3">
                  <c:v>59</c:v>
                </c:pt>
                <c:pt idx="4">
                  <c:v>4</c:v>
                </c:pt>
                <c:pt idx="5">
                  <c:v>18</c:v>
                </c:pt>
                <c:pt idx="6">
                  <c:v>24</c:v>
                </c:pt>
                <c:pt idx="7">
                  <c:v>0</c:v>
                </c:pt>
                <c:pt idx="8">
                  <c:v>31</c:v>
                </c:pt>
                <c:pt idx="9">
                  <c:v>0</c:v>
                </c:pt>
                <c:pt idx="10">
                  <c:v>20</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85152"/>
        <c:axId val="451785936"/>
      </c:barChart>
      <c:catAx>
        <c:axId val="45178515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85936"/>
        <c:crosses val="autoZero"/>
        <c:auto val="1"/>
        <c:lblAlgn val="ctr"/>
        <c:lblOffset val="100"/>
        <c:noMultiLvlLbl val="0"/>
      </c:catAx>
      <c:valAx>
        <c:axId val="45178593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85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2021-12-6</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'December 6, 2021'!$B$2:$B$3</c:f>
              <c:strCache>
                <c:ptCount val="2"/>
                <c:pt idx="0">
                  <c:v>Total Hospital</c:v>
                </c:pt>
                <c:pt idx="1">
                  <c:v>1845</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'December 6,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'December 6, 2021'!$B$4:$B$16</c:f>
              <c:numCache>
                <c:formatCode>General</c:formatCode>
                <c:ptCount val="13"/>
                <c:pt idx="0">
                  <c:v>371</c:v>
                </c:pt>
                <c:pt idx="1">
                  <c:v>473</c:v>
                </c:pt>
                <c:pt idx="2" formatCode="0">
                  <c:v>304</c:v>
                </c:pt>
                <c:pt idx="3" formatCode="#,##0">
                  <c:v>287</c:v>
                </c:pt>
                <c:pt idx="4">
                  <c:v>21</c:v>
                </c:pt>
                <c:pt idx="5">
                  <c:v>62</c:v>
                </c:pt>
                <c:pt idx="6">
                  <c:v>104</c:v>
                </c:pt>
                <c:pt idx="7">
                  <c:v>0</c:v>
                </c:pt>
                <c:pt idx="8">
                  <c:v>132</c:v>
                </c:pt>
                <c:pt idx="9">
                  <c:v>0</c:v>
                </c:pt>
                <c:pt idx="10">
                  <c:v>81</c:v>
                </c:pt>
                <c:pt idx="11">
                  <c:v>10</c:v>
                </c:pt>
                <c:pt idx="12">
                  <c:v>0</c:v>
                </c:pt>
              </c:numCache>
            </c:numRef>
          </c:val>
          <c:extLst>
            <c:ext xmlns:c16="http://schemas.microsoft.com/office/drawing/2014/chart" uri="{C3380CC4-5D6E-409C-BE32-E72D297353CC}">
              <c16:uniqueId val="{00000000-EDA9-447A-B34A-7F5482B615D8}"/>
            </c:ext>
          </c:extLst>
        </c:ser>
        <c:ser>
          <c:idx val="1"/>
          <c:order val="1"/>
          <c:tx>
            <c:strRef>
              <c:f>'December 6, 2021'!$C$2:$C$3</c:f>
              <c:strCache>
                <c:ptCount val="2"/>
                <c:pt idx="0">
                  <c:v>Total ICU</c:v>
                </c:pt>
                <c:pt idx="1">
                  <c:v>485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'December 6,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'December 6, 2021'!$C$4:$C$16</c:f>
              <c:numCache>
                <c:formatCode>General</c:formatCode>
                <c:ptCount val="13"/>
                <c:pt idx="0">
                  <c:v>95</c:v>
                </c:pt>
                <c:pt idx="1">
                  <c:v>78</c:v>
                </c:pt>
                <c:pt idx="2">
                  <c:v>164</c:v>
                </c:pt>
                <c:pt idx="3">
                  <c:v>57</c:v>
                </c:pt>
                <c:pt idx="4">
                  <c:v>8</c:v>
                </c:pt>
                <c:pt idx="5">
                  <c:v>16</c:v>
                </c:pt>
                <c:pt idx="6">
                  <c:v>16</c:v>
                </c:pt>
                <c:pt idx="7">
                  <c:v>0</c:v>
                </c:pt>
                <c:pt idx="8">
                  <c:v>31</c:v>
                </c:pt>
                <c:pt idx="9">
                  <c:v>0</c:v>
                </c:pt>
                <c:pt idx="10">
                  <c:v>20</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74176"/>
        <c:axId val="451789464"/>
      </c:barChart>
      <c:catAx>
        <c:axId val="45177417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89464"/>
        <c:crosses val="autoZero"/>
        <c:auto val="1"/>
        <c:lblAlgn val="ctr"/>
        <c:lblOffset val="100"/>
        <c:noMultiLvlLbl val="0"/>
      </c:catAx>
      <c:valAx>
        <c:axId val="45178946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74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2022-07-15</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'July 15, 2022'!$B$2:$B$3</c:f>
              <c:strCache>
                <c:ptCount val="2"/>
                <c:pt idx="0">
                  <c:v>Total Hospital</c:v>
                </c:pt>
                <c:pt idx="1">
                  <c:v>4102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15,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15, 2022'!$B$4:$B$16</c:f>
              <c:numCache>
                <c:formatCode>General</c:formatCode>
                <c:ptCount val="13"/>
                <c:pt idx="0">
                  <c:v>426</c:v>
                </c:pt>
                <c:pt idx="1">
                  <c:v>552</c:v>
                </c:pt>
                <c:pt idx="2" formatCode="0">
                  <c:v>985</c:v>
                </c:pt>
                <c:pt idx="3" formatCode="#,##0">
                  <c:v>1887</c:v>
                </c:pt>
                <c:pt idx="4">
                  <c:v>32</c:v>
                </c:pt>
                <c:pt idx="5">
                  <c:v>17</c:v>
                </c:pt>
                <c:pt idx="6">
                  <c:v>59</c:v>
                </c:pt>
                <c:pt idx="7">
                  <c:v>19</c:v>
                </c:pt>
                <c:pt idx="8">
                  <c:v>119</c:v>
                </c:pt>
                <c:pt idx="9">
                  <c:v>3</c:v>
                </c:pt>
                <c:pt idx="10">
                  <c:v>0</c:v>
                </c:pt>
                <c:pt idx="11">
                  <c:v>3</c:v>
                </c:pt>
                <c:pt idx="12">
                  <c:v>0</c:v>
                </c:pt>
              </c:numCache>
            </c:numRef>
          </c:val>
          <c:extLst>
            <c:ext xmlns:c16="http://schemas.microsoft.com/office/drawing/2014/chart" uri="{C3380CC4-5D6E-409C-BE32-E72D297353CC}">
              <c16:uniqueId val="{00000000-C99C-4883-B6A8-C3283B2629DE}"/>
            </c:ext>
          </c:extLst>
        </c:ser>
        <c:ser>
          <c:idx val="1"/>
          <c:order val="1"/>
          <c:tx>
            <c:strRef>
              <c:f>'July 15, 2022'!$C$2:$C$3</c:f>
              <c:strCache>
                <c:ptCount val="2"/>
                <c:pt idx="0">
                  <c:v>Total ICU</c:v>
                </c:pt>
                <c:pt idx="1">
                  <c:v>232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9C-4883-B6A8-C3283B2629D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15,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15, 2022'!$C$4:$C$16</c:f>
              <c:numCache>
                <c:formatCode>General</c:formatCode>
                <c:ptCount val="13"/>
                <c:pt idx="0">
                  <c:v>34</c:v>
                </c:pt>
                <c:pt idx="1">
                  <c:v>16</c:v>
                </c:pt>
                <c:pt idx="2">
                  <c:v>118</c:v>
                </c:pt>
                <c:pt idx="3">
                  <c:v>42</c:v>
                </c:pt>
                <c:pt idx="4">
                  <c:v>9</c:v>
                </c:pt>
                <c:pt idx="5">
                  <c:v>2</c:v>
                </c:pt>
                <c:pt idx="6">
                  <c:v>7</c:v>
                </c:pt>
                <c:pt idx="7">
                  <c:v>0</c:v>
                </c:pt>
                <c:pt idx="8">
                  <c:v>4</c:v>
                </c:pt>
                <c:pt idx="9">
                  <c:v>0</c:v>
                </c:pt>
                <c:pt idx="10">
                  <c:v>0</c:v>
                </c:pt>
                <c:pt idx="11">
                  <c:v>0</c:v>
                </c:pt>
                <c:pt idx="12">
                  <c:v>0</c:v>
                </c:pt>
              </c:numCache>
            </c:numRef>
          </c:val>
          <c:extLst>
            <c:ext xmlns:c16="http://schemas.microsoft.com/office/drawing/2014/chart" uri="{C3380CC4-5D6E-409C-BE32-E72D297353CC}">
              <c16:uniqueId val="{00000002-C99C-4883-B6A8-C3283B2629DE}"/>
            </c:ext>
          </c:extLst>
        </c:ser>
        <c:dLbls>
          <c:dLblPos val="outEnd"/>
          <c:showLegendKey val="0"/>
          <c:showVal val="1"/>
          <c:showCatName val="0"/>
          <c:showSerName val="0"/>
          <c:showPercent val="0"/>
          <c:showBubbleSize val="0"/>
        </c:dLbls>
        <c:gapWidth val="100"/>
        <c:overlap val="-24"/>
        <c:axId val="528188568"/>
        <c:axId val="528192880"/>
      </c:barChart>
      <c:catAx>
        <c:axId val="5281885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92880"/>
        <c:crosses val="autoZero"/>
        <c:auto val="1"/>
        <c:lblAlgn val="ctr"/>
        <c:lblOffset val="100"/>
        <c:noMultiLvlLbl val="0"/>
      </c:catAx>
      <c:valAx>
        <c:axId val="5281928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88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2021-12-3</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'December 3, 2021'!$B$2:$B$3</c:f>
              <c:strCache>
                <c:ptCount val="2"/>
                <c:pt idx="0">
                  <c:v>Total Hospital</c:v>
                </c:pt>
                <c:pt idx="1">
                  <c:v>2030</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'December 3,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'December 3, 2021'!$B$4:$B$16</c:f>
              <c:numCache>
                <c:formatCode>General</c:formatCode>
                <c:ptCount val="13"/>
                <c:pt idx="0">
                  <c:v>381</c:v>
                </c:pt>
                <c:pt idx="1">
                  <c:v>495</c:v>
                </c:pt>
                <c:pt idx="2" formatCode="0">
                  <c:v>446</c:v>
                </c:pt>
                <c:pt idx="3" formatCode="#,##0">
                  <c:v>280</c:v>
                </c:pt>
                <c:pt idx="4">
                  <c:v>21</c:v>
                </c:pt>
                <c:pt idx="5">
                  <c:v>75</c:v>
                </c:pt>
                <c:pt idx="6">
                  <c:v>108</c:v>
                </c:pt>
                <c:pt idx="7">
                  <c:v>0</c:v>
                </c:pt>
                <c:pt idx="8">
                  <c:v>134</c:v>
                </c:pt>
                <c:pt idx="9">
                  <c:v>0</c:v>
                </c:pt>
                <c:pt idx="10">
                  <c:v>80</c:v>
                </c:pt>
                <c:pt idx="11">
                  <c:v>10</c:v>
                </c:pt>
                <c:pt idx="12">
                  <c:v>0</c:v>
                </c:pt>
              </c:numCache>
            </c:numRef>
          </c:val>
          <c:extLst>
            <c:ext xmlns:c16="http://schemas.microsoft.com/office/drawing/2014/chart" uri="{C3380CC4-5D6E-409C-BE32-E72D297353CC}">
              <c16:uniqueId val="{00000000-EDA9-447A-B34A-7F5482B615D8}"/>
            </c:ext>
          </c:extLst>
        </c:ser>
        <c:ser>
          <c:idx val="1"/>
          <c:order val="1"/>
          <c:tx>
            <c:strRef>
              <c:f>'December 3, 2021'!$C$2:$C$3</c:f>
              <c:strCache>
                <c:ptCount val="2"/>
                <c:pt idx="0">
                  <c:v>Total ICU</c:v>
                </c:pt>
                <c:pt idx="1">
                  <c:v>475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'December 3,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'December 3, 2021'!$C$4:$C$16</c:f>
              <c:numCache>
                <c:formatCode>General</c:formatCode>
                <c:ptCount val="13"/>
                <c:pt idx="0">
                  <c:v>97</c:v>
                </c:pt>
                <c:pt idx="1">
                  <c:v>76</c:v>
                </c:pt>
                <c:pt idx="2">
                  <c:v>155</c:v>
                </c:pt>
                <c:pt idx="3">
                  <c:v>53</c:v>
                </c:pt>
                <c:pt idx="4">
                  <c:v>8</c:v>
                </c:pt>
                <c:pt idx="5">
                  <c:v>16</c:v>
                </c:pt>
                <c:pt idx="6">
                  <c:v>16</c:v>
                </c:pt>
                <c:pt idx="7">
                  <c:v>0</c:v>
                </c:pt>
                <c:pt idx="8">
                  <c:v>35</c:v>
                </c:pt>
                <c:pt idx="9">
                  <c:v>0</c:v>
                </c:pt>
                <c:pt idx="10">
                  <c:v>19</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89856"/>
        <c:axId val="451796520"/>
      </c:barChart>
      <c:catAx>
        <c:axId val="45178985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96520"/>
        <c:crosses val="autoZero"/>
        <c:auto val="1"/>
        <c:lblAlgn val="ctr"/>
        <c:lblOffset val="100"/>
        <c:noMultiLvlLbl val="0"/>
      </c:catAx>
      <c:valAx>
        <c:axId val="45179652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898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2021-12-1</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'December 1, 2021'!$B$2:$B$3</c:f>
              <c:strCache>
                <c:ptCount val="2"/>
                <c:pt idx="0">
                  <c:v>Total Hospital</c:v>
                </c:pt>
                <c:pt idx="1">
                  <c:v>2097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'December 1,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'December 1, 2021'!$B$4:$B$16</c:f>
              <c:numCache>
                <c:formatCode>General</c:formatCode>
                <c:ptCount val="13"/>
                <c:pt idx="0">
                  <c:v>404</c:v>
                </c:pt>
                <c:pt idx="1">
                  <c:v>515</c:v>
                </c:pt>
                <c:pt idx="2" formatCode="0">
                  <c:v>451</c:v>
                </c:pt>
                <c:pt idx="3" formatCode="#,##0">
                  <c:v>291</c:v>
                </c:pt>
                <c:pt idx="4">
                  <c:v>23</c:v>
                </c:pt>
                <c:pt idx="5">
                  <c:v>81</c:v>
                </c:pt>
                <c:pt idx="6">
                  <c:v>110</c:v>
                </c:pt>
                <c:pt idx="7">
                  <c:v>0</c:v>
                </c:pt>
                <c:pt idx="8">
                  <c:v>133</c:v>
                </c:pt>
                <c:pt idx="9">
                  <c:v>0</c:v>
                </c:pt>
                <c:pt idx="10">
                  <c:v>79</c:v>
                </c:pt>
                <c:pt idx="11">
                  <c:v>10</c:v>
                </c:pt>
                <c:pt idx="12">
                  <c:v>0</c:v>
                </c:pt>
              </c:numCache>
            </c:numRef>
          </c:val>
          <c:extLst>
            <c:ext xmlns:c16="http://schemas.microsoft.com/office/drawing/2014/chart" uri="{C3380CC4-5D6E-409C-BE32-E72D297353CC}">
              <c16:uniqueId val="{00000000-EDA9-447A-B34A-7F5482B615D8}"/>
            </c:ext>
          </c:extLst>
        </c:ser>
        <c:ser>
          <c:idx val="1"/>
          <c:order val="1"/>
          <c:tx>
            <c:strRef>
              <c:f>'December 1, 2021'!$C$2:$C$3</c:f>
              <c:strCache>
                <c:ptCount val="2"/>
                <c:pt idx="0">
                  <c:v>Total ICU</c:v>
                </c:pt>
                <c:pt idx="1">
                  <c:v>488</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'December 1,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'December 1, 2021'!$C$4:$C$16</c:f>
              <c:numCache>
                <c:formatCode>General</c:formatCode>
                <c:ptCount val="13"/>
                <c:pt idx="0">
                  <c:v>104</c:v>
                </c:pt>
                <c:pt idx="1">
                  <c:v>81</c:v>
                </c:pt>
                <c:pt idx="2">
                  <c:v>155</c:v>
                </c:pt>
                <c:pt idx="3">
                  <c:v>52</c:v>
                </c:pt>
                <c:pt idx="4">
                  <c:v>8</c:v>
                </c:pt>
                <c:pt idx="5">
                  <c:v>15</c:v>
                </c:pt>
                <c:pt idx="6">
                  <c:v>17</c:v>
                </c:pt>
                <c:pt idx="7">
                  <c:v>0</c:v>
                </c:pt>
                <c:pt idx="8">
                  <c:v>37</c:v>
                </c:pt>
                <c:pt idx="9">
                  <c:v>0</c:v>
                </c:pt>
                <c:pt idx="10">
                  <c:v>19</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98088"/>
        <c:axId val="451787896"/>
      </c:barChart>
      <c:catAx>
        <c:axId val="45179808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87896"/>
        <c:crosses val="autoZero"/>
        <c:auto val="1"/>
        <c:lblAlgn val="ctr"/>
        <c:lblOffset val="100"/>
        <c:noMultiLvlLbl val="0"/>
      </c:catAx>
      <c:valAx>
        <c:axId val="45178789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980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2021-11-29</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'November 29, 2021 '!$B$2:$B$3</c:f>
              <c:strCache>
                <c:ptCount val="2"/>
                <c:pt idx="0">
                  <c:v>Total Hospital</c:v>
                </c:pt>
                <c:pt idx="1">
                  <c:v>1952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29, 2021 '!$A$4:$A$16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29, 2021 '!$B$4:$B$16</c:f>
              <c:numCache>
                <c:formatCode>General</c:formatCode>
                <c:ptCount val="13"/>
                <c:pt idx="0">
                  <c:v>406</c:v>
                </c:pt>
                <c:pt idx="1">
                  <c:v>545</c:v>
                </c:pt>
                <c:pt idx="2" formatCode="0">
                  <c:v>293</c:v>
                </c:pt>
                <c:pt idx="3" formatCode="#,##0">
                  <c:v>271</c:v>
                </c:pt>
                <c:pt idx="4">
                  <c:v>19</c:v>
                </c:pt>
                <c:pt idx="5">
                  <c:v>81</c:v>
                </c:pt>
                <c:pt idx="6">
                  <c:v>117</c:v>
                </c:pt>
                <c:pt idx="7">
                  <c:v>0</c:v>
                </c:pt>
                <c:pt idx="8">
                  <c:v>130</c:v>
                </c:pt>
                <c:pt idx="9">
                  <c:v>1</c:v>
                </c:pt>
                <c:pt idx="10">
                  <c:v>79</c:v>
                </c:pt>
                <c:pt idx="11">
                  <c:v>10</c:v>
                </c:pt>
                <c:pt idx="12">
                  <c:v>0</c:v>
                </c:pt>
              </c:numCache>
            </c:numRef>
          </c:val>
          <c:extLst>
            <c:ext xmlns:c16="http://schemas.microsoft.com/office/drawing/2014/chart" uri="{C3380CC4-5D6E-409C-BE32-E72D297353CC}">
              <c16:uniqueId val="{00000000-EDA9-447A-B34A-7F5482B615D8}"/>
            </c:ext>
          </c:extLst>
        </c:ser>
        <c:ser>
          <c:idx val="1"/>
          <c:order val="1"/>
          <c:tx>
            <c:strRef>
              <c:f>'November 29, 2021 '!$C$2:$C$3</c:f>
              <c:strCache>
                <c:ptCount val="2"/>
                <c:pt idx="0">
                  <c:v>Total ICU</c:v>
                </c:pt>
                <c:pt idx="1">
                  <c:v>497</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29, 2021 '!$A$4:$A$16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29, 2021 '!$C$4:$C$16</c:f>
              <c:numCache>
                <c:formatCode>General</c:formatCode>
                <c:ptCount val="13"/>
                <c:pt idx="0">
                  <c:v>115</c:v>
                </c:pt>
                <c:pt idx="1">
                  <c:v>90</c:v>
                </c:pt>
                <c:pt idx="2">
                  <c:v>148</c:v>
                </c:pt>
                <c:pt idx="3">
                  <c:v>45</c:v>
                </c:pt>
                <c:pt idx="4">
                  <c:v>5</c:v>
                </c:pt>
                <c:pt idx="5">
                  <c:v>17</c:v>
                </c:pt>
                <c:pt idx="6">
                  <c:v>19</c:v>
                </c:pt>
                <c:pt idx="7">
                  <c:v>0</c:v>
                </c:pt>
                <c:pt idx="8">
                  <c:v>39</c:v>
                </c:pt>
                <c:pt idx="9">
                  <c:v>0</c:v>
                </c:pt>
                <c:pt idx="10">
                  <c:v>19</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87112"/>
        <c:axId val="451792208"/>
      </c:barChart>
      <c:catAx>
        <c:axId val="45178711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92208"/>
        <c:crosses val="autoZero"/>
        <c:auto val="1"/>
        <c:lblAlgn val="ctr"/>
        <c:lblOffset val="100"/>
        <c:noMultiLvlLbl val="0"/>
      </c:catAx>
      <c:valAx>
        <c:axId val="45179220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871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2021-11-26</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'November 26, 2021'!$B$2:$B$3</c:f>
              <c:strCache>
                <c:ptCount val="2"/>
                <c:pt idx="0">
                  <c:v>Total Hospital</c:v>
                </c:pt>
                <c:pt idx="1">
                  <c:v>2044</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26,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26, 2021'!$B$4:$B$16</c:f>
              <c:numCache>
                <c:formatCode>General</c:formatCode>
                <c:ptCount val="13"/>
                <c:pt idx="0">
                  <c:v>407</c:v>
                </c:pt>
                <c:pt idx="1">
                  <c:v>563</c:v>
                </c:pt>
                <c:pt idx="2" formatCode="0">
                  <c:v>394</c:v>
                </c:pt>
                <c:pt idx="3" formatCode="#,##0">
                  <c:v>255</c:v>
                </c:pt>
                <c:pt idx="4">
                  <c:v>22</c:v>
                </c:pt>
                <c:pt idx="5">
                  <c:v>72</c:v>
                </c:pt>
                <c:pt idx="6">
                  <c:v>103</c:v>
                </c:pt>
                <c:pt idx="7">
                  <c:v>0</c:v>
                </c:pt>
                <c:pt idx="8">
                  <c:v>142</c:v>
                </c:pt>
                <c:pt idx="9">
                  <c:v>1</c:v>
                </c:pt>
                <c:pt idx="10">
                  <c:v>79</c:v>
                </c:pt>
                <c:pt idx="11">
                  <c:v>6</c:v>
                </c:pt>
                <c:pt idx="12">
                  <c:v>0</c:v>
                </c:pt>
              </c:numCache>
            </c:numRef>
          </c:val>
          <c:extLst>
            <c:ext xmlns:c16="http://schemas.microsoft.com/office/drawing/2014/chart" uri="{C3380CC4-5D6E-409C-BE32-E72D297353CC}">
              <c16:uniqueId val="{00000000-EDA9-447A-B34A-7F5482B615D8}"/>
            </c:ext>
          </c:extLst>
        </c:ser>
        <c:ser>
          <c:idx val="1"/>
          <c:order val="1"/>
          <c:tx>
            <c:strRef>
              <c:f>'November 26, 2021'!$C$2:$C$3</c:f>
              <c:strCache>
                <c:ptCount val="2"/>
                <c:pt idx="0">
                  <c:v>Total ICU</c:v>
                </c:pt>
                <c:pt idx="1">
                  <c:v>489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26,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26, 2021'!$C$4:$C$16</c:f>
              <c:numCache>
                <c:formatCode>General</c:formatCode>
                <c:ptCount val="13"/>
                <c:pt idx="0">
                  <c:v>112</c:v>
                </c:pt>
                <c:pt idx="1">
                  <c:v>98</c:v>
                </c:pt>
                <c:pt idx="2">
                  <c:v>137</c:v>
                </c:pt>
                <c:pt idx="3">
                  <c:v>45</c:v>
                </c:pt>
                <c:pt idx="4">
                  <c:v>5</c:v>
                </c:pt>
                <c:pt idx="5">
                  <c:v>18</c:v>
                </c:pt>
                <c:pt idx="6">
                  <c:v>17</c:v>
                </c:pt>
                <c:pt idx="7">
                  <c:v>0</c:v>
                </c:pt>
                <c:pt idx="8">
                  <c:v>38</c:v>
                </c:pt>
                <c:pt idx="9">
                  <c:v>0</c:v>
                </c:pt>
                <c:pt idx="10">
                  <c:v>19</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91424"/>
        <c:axId val="451791816"/>
      </c:barChart>
      <c:catAx>
        <c:axId val="45179142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91816"/>
        <c:crosses val="autoZero"/>
        <c:auto val="1"/>
        <c:lblAlgn val="ctr"/>
        <c:lblOffset val="100"/>
        <c:noMultiLvlLbl val="0"/>
      </c:catAx>
      <c:valAx>
        <c:axId val="45179181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91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2021-11-24</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'November 24, 2021'!$B$2:$B$3</c:f>
              <c:strCache>
                <c:ptCount val="2"/>
                <c:pt idx="0">
                  <c:v>Total Hospital</c:v>
                </c:pt>
                <c:pt idx="1">
                  <c:v>2159</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24,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24, 2021'!$B$4:$B$16</c:f>
              <c:numCache>
                <c:formatCode>General</c:formatCode>
                <c:ptCount val="13"/>
                <c:pt idx="0">
                  <c:v>460</c:v>
                </c:pt>
                <c:pt idx="1">
                  <c:v>569</c:v>
                </c:pt>
                <c:pt idx="2" formatCode="0">
                  <c:v>426</c:v>
                </c:pt>
                <c:pt idx="3" formatCode="#,##0">
                  <c:v>257</c:v>
                </c:pt>
                <c:pt idx="4">
                  <c:v>25</c:v>
                </c:pt>
                <c:pt idx="5">
                  <c:v>63</c:v>
                </c:pt>
                <c:pt idx="6">
                  <c:v>124</c:v>
                </c:pt>
                <c:pt idx="7">
                  <c:v>0</c:v>
                </c:pt>
                <c:pt idx="8">
                  <c:v>149</c:v>
                </c:pt>
                <c:pt idx="9">
                  <c:v>1</c:v>
                </c:pt>
                <c:pt idx="10">
                  <c:v>79</c:v>
                </c:pt>
                <c:pt idx="11">
                  <c:v>6</c:v>
                </c:pt>
                <c:pt idx="12">
                  <c:v>0</c:v>
                </c:pt>
              </c:numCache>
            </c:numRef>
          </c:val>
          <c:extLst>
            <c:ext xmlns:c16="http://schemas.microsoft.com/office/drawing/2014/chart" uri="{C3380CC4-5D6E-409C-BE32-E72D297353CC}">
              <c16:uniqueId val="{00000000-EDA9-447A-B34A-7F5482B615D8}"/>
            </c:ext>
          </c:extLst>
        </c:ser>
        <c:ser>
          <c:idx val="1"/>
          <c:order val="1"/>
          <c:tx>
            <c:strRef>
              <c:f>'November 24, 2021'!$C$2:$C$3</c:f>
              <c:strCache>
                <c:ptCount val="2"/>
                <c:pt idx="0">
                  <c:v>Total ICU</c:v>
                </c:pt>
                <c:pt idx="1">
                  <c:v>487</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24,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24, 2021'!$C$4:$C$16</c:f>
              <c:numCache>
                <c:formatCode>General</c:formatCode>
                <c:ptCount val="13"/>
                <c:pt idx="0">
                  <c:v>115</c:v>
                </c:pt>
                <c:pt idx="1">
                  <c:v>94</c:v>
                </c:pt>
                <c:pt idx="2">
                  <c:v>137</c:v>
                </c:pt>
                <c:pt idx="3">
                  <c:v>46</c:v>
                </c:pt>
                <c:pt idx="4">
                  <c:v>7</c:v>
                </c:pt>
                <c:pt idx="5">
                  <c:v>18</c:v>
                </c:pt>
                <c:pt idx="6">
                  <c:v>17</c:v>
                </c:pt>
                <c:pt idx="7">
                  <c:v>0</c:v>
                </c:pt>
                <c:pt idx="8">
                  <c:v>34</c:v>
                </c:pt>
                <c:pt idx="9">
                  <c:v>0</c:v>
                </c:pt>
                <c:pt idx="10">
                  <c:v>19</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95344"/>
        <c:axId val="451787504"/>
      </c:barChart>
      <c:catAx>
        <c:axId val="45179534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87504"/>
        <c:crosses val="autoZero"/>
        <c:auto val="1"/>
        <c:lblAlgn val="ctr"/>
        <c:lblOffset val="100"/>
        <c:noMultiLvlLbl val="0"/>
      </c:catAx>
      <c:valAx>
        <c:axId val="45178750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95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2021-11-22</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'November 22, 2021'!$B$2:$B$3</c:f>
              <c:strCache>
                <c:ptCount val="2"/>
                <c:pt idx="0">
                  <c:v>Total Hospital</c:v>
                </c:pt>
                <c:pt idx="1">
                  <c:v>2007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22,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22, 2021'!$B$4:$B$16</c:f>
              <c:numCache>
                <c:formatCode>General</c:formatCode>
                <c:ptCount val="13"/>
                <c:pt idx="0">
                  <c:v>467</c:v>
                </c:pt>
                <c:pt idx="1">
                  <c:v>589</c:v>
                </c:pt>
                <c:pt idx="2" formatCode="0">
                  <c:v>269</c:v>
                </c:pt>
                <c:pt idx="3" formatCode="#,##0">
                  <c:v>246</c:v>
                </c:pt>
                <c:pt idx="4">
                  <c:v>24</c:v>
                </c:pt>
                <c:pt idx="5">
                  <c:v>50</c:v>
                </c:pt>
                <c:pt idx="6">
                  <c:v>127</c:v>
                </c:pt>
                <c:pt idx="7">
                  <c:v>0</c:v>
                </c:pt>
                <c:pt idx="8">
                  <c:v>150</c:v>
                </c:pt>
                <c:pt idx="9">
                  <c:v>0</c:v>
                </c:pt>
                <c:pt idx="10">
                  <c:v>79</c:v>
                </c:pt>
                <c:pt idx="11">
                  <c:v>6</c:v>
                </c:pt>
                <c:pt idx="12">
                  <c:v>0</c:v>
                </c:pt>
              </c:numCache>
            </c:numRef>
          </c:val>
          <c:extLst>
            <c:ext xmlns:c16="http://schemas.microsoft.com/office/drawing/2014/chart" uri="{C3380CC4-5D6E-409C-BE32-E72D297353CC}">
              <c16:uniqueId val="{00000000-EDA9-447A-B34A-7F5482B615D8}"/>
            </c:ext>
          </c:extLst>
        </c:ser>
        <c:ser>
          <c:idx val="1"/>
          <c:order val="1"/>
          <c:tx>
            <c:strRef>
              <c:f>'November 22, 2021'!$C$2:$C$3</c:f>
              <c:strCache>
                <c:ptCount val="2"/>
                <c:pt idx="0">
                  <c:v>Total ICU</c:v>
                </c:pt>
                <c:pt idx="1">
                  <c:v>480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22,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22, 2021'!$C$4:$C$16</c:f>
              <c:numCache>
                <c:formatCode>General</c:formatCode>
                <c:ptCount val="13"/>
                <c:pt idx="0">
                  <c:v>109</c:v>
                </c:pt>
                <c:pt idx="1">
                  <c:v>93</c:v>
                </c:pt>
                <c:pt idx="2">
                  <c:v>133</c:v>
                </c:pt>
                <c:pt idx="3">
                  <c:v>45</c:v>
                </c:pt>
                <c:pt idx="4">
                  <c:v>7</c:v>
                </c:pt>
                <c:pt idx="5">
                  <c:v>18</c:v>
                </c:pt>
                <c:pt idx="6">
                  <c:v>20</c:v>
                </c:pt>
                <c:pt idx="7">
                  <c:v>0</c:v>
                </c:pt>
                <c:pt idx="8">
                  <c:v>36</c:v>
                </c:pt>
                <c:pt idx="9">
                  <c:v>0</c:v>
                </c:pt>
                <c:pt idx="10">
                  <c:v>19</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88680"/>
        <c:axId val="451794560"/>
      </c:barChart>
      <c:catAx>
        <c:axId val="45178868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94560"/>
        <c:crosses val="autoZero"/>
        <c:auto val="1"/>
        <c:lblAlgn val="ctr"/>
        <c:lblOffset val="100"/>
        <c:noMultiLvlLbl val="0"/>
      </c:catAx>
      <c:valAx>
        <c:axId val="45179456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88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2021-11-19</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'November 19, 2021'!$B$2:$B$3</c:f>
              <c:strCache>
                <c:ptCount val="2"/>
                <c:pt idx="0">
                  <c:v>Total Hospital</c:v>
                </c:pt>
                <c:pt idx="1">
                  <c:v>2133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19,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19, 2021'!$B$4:$B$16</c:f>
              <c:numCache>
                <c:formatCode>General</c:formatCode>
                <c:ptCount val="13"/>
                <c:pt idx="0">
                  <c:v>465</c:v>
                </c:pt>
                <c:pt idx="1">
                  <c:v>592</c:v>
                </c:pt>
                <c:pt idx="2" formatCode="0">
                  <c:v>397</c:v>
                </c:pt>
                <c:pt idx="3" formatCode="#,##0">
                  <c:v>246</c:v>
                </c:pt>
                <c:pt idx="4">
                  <c:v>24</c:v>
                </c:pt>
                <c:pt idx="5">
                  <c:v>44</c:v>
                </c:pt>
                <c:pt idx="6">
                  <c:v>127</c:v>
                </c:pt>
                <c:pt idx="7">
                  <c:v>0</c:v>
                </c:pt>
                <c:pt idx="8">
                  <c:v>157</c:v>
                </c:pt>
                <c:pt idx="9">
                  <c:v>0</c:v>
                </c:pt>
                <c:pt idx="10">
                  <c:v>79</c:v>
                </c:pt>
                <c:pt idx="11">
                  <c:v>2</c:v>
                </c:pt>
                <c:pt idx="12">
                  <c:v>0</c:v>
                </c:pt>
              </c:numCache>
            </c:numRef>
          </c:val>
          <c:extLst>
            <c:ext xmlns:c16="http://schemas.microsoft.com/office/drawing/2014/chart" uri="{C3380CC4-5D6E-409C-BE32-E72D297353CC}">
              <c16:uniqueId val="{00000000-EDA9-447A-B34A-7F5482B615D8}"/>
            </c:ext>
          </c:extLst>
        </c:ser>
        <c:ser>
          <c:idx val="1"/>
          <c:order val="1"/>
          <c:tx>
            <c:strRef>
              <c:f>'November 19, 2021'!$C$2:$C$3</c:f>
              <c:strCache>
                <c:ptCount val="2"/>
                <c:pt idx="0">
                  <c:v>Total ICU</c:v>
                </c:pt>
                <c:pt idx="1">
                  <c:v>478</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19,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19, 2021'!$C$4:$C$16</c:f>
              <c:numCache>
                <c:formatCode>General</c:formatCode>
                <c:ptCount val="13"/>
                <c:pt idx="0">
                  <c:v>110</c:v>
                </c:pt>
                <c:pt idx="1">
                  <c:v>94</c:v>
                </c:pt>
                <c:pt idx="2">
                  <c:v>128</c:v>
                </c:pt>
                <c:pt idx="3">
                  <c:v>45</c:v>
                </c:pt>
                <c:pt idx="4">
                  <c:v>7</c:v>
                </c:pt>
                <c:pt idx="5">
                  <c:v>16</c:v>
                </c:pt>
                <c:pt idx="6">
                  <c:v>20</c:v>
                </c:pt>
                <c:pt idx="7">
                  <c:v>0</c:v>
                </c:pt>
                <c:pt idx="8">
                  <c:v>39</c:v>
                </c:pt>
                <c:pt idx="9">
                  <c:v>0</c:v>
                </c:pt>
                <c:pt idx="10">
                  <c:v>19</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88288"/>
        <c:axId val="451798480"/>
      </c:barChart>
      <c:catAx>
        <c:axId val="45178828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98480"/>
        <c:crosses val="autoZero"/>
        <c:auto val="1"/>
        <c:lblAlgn val="ctr"/>
        <c:lblOffset val="100"/>
        <c:noMultiLvlLbl val="0"/>
      </c:catAx>
      <c:valAx>
        <c:axId val="4517984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88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2021-11-17</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'November 17, 2021'!$B$2:$B$3</c:f>
              <c:strCache>
                <c:ptCount val="2"/>
                <c:pt idx="0">
                  <c:v>Total Hospital</c:v>
                </c:pt>
                <c:pt idx="1">
                  <c:v>2231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17,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17, 2021'!$B$4:$B$16</c:f>
              <c:numCache>
                <c:formatCode>General</c:formatCode>
                <c:ptCount val="13"/>
                <c:pt idx="0">
                  <c:v>474</c:v>
                </c:pt>
                <c:pt idx="1">
                  <c:v>619</c:v>
                </c:pt>
                <c:pt idx="2" formatCode="0">
                  <c:v>407</c:v>
                </c:pt>
                <c:pt idx="3" formatCode="#,##0">
                  <c:v>242</c:v>
                </c:pt>
                <c:pt idx="4">
                  <c:v>24</c:v>
                </c:pt>
                <c:pt idx="5">
                  <c:v>36</c:v>
                </c:pt>
                <c:pt idx="6">
                  <c:v>177</c:v>
                </c:pt>
                <c:pt idx="7">
                  <c:v>0</c:v>
                </c:pt>
                <c:pt idx="8">
                  <c:v>171</c:v>
                </c:pt>
                <c:pt idx="9">
                  <c:v>0</c:v>
                </c:pt>
                <c:pt idx="10">
                  <c:v>79</c:v>
                </c:pt>
                <c:pt idx="11">
                  <c:v>2</c:v>
                </c:pt>
                <c:pt idx="12">
                  <c:v>0</c:v>
                </c:pt>
              </c:numCache>
            </c:numRef>
          </c:val>
          <c:extLst>
            <c:ext xmlns:c16="http://schemas.microsoft.com/office/drawing/2014/chart" uri="{C3380CC4-5D6E-409C-BE32-E72D297353CC}">
              <c16:uniqueId val="{00000000-EDA9-447A-B34A-7F5482B615D8}"/>
            </c:ext>
          </c:extLst>
        </c:ser>
        <c:ser>
          <c:idx val="1"/>
          <c:order val="1"/>
          <c:tx>
            <c:strRef>
              <c:f>'November 17, 2021'!$C$2:$C$3</c:f>
              <c:strCache>
                <c:ptCount val="2"/>
                <c:pt idx="0">
                  <c:v>Total ICU</c:v>
                </c:pt>
                <c:pt idx="1">
                  <c:v>501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17,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17, 2021'!$C$4:$C$16</c:f>
              <c:numCache>
                <c:formatCode>General</c:formatCode>
                <c:ptCount val="13"/>
                <c:pt idx="0">
                  <c:v>107</c:v>
                </c:pt>
                <c:pt idx="1">
                  <c:v>101</c:v>
                </c:pt>
                <c:pt idx="2">
                  <c:v>133</c:v>
                </c:pt>
                <c:pt idx="3">
                  <c:v>47</c:v>
                </c:pt>
                <c:pt idx="4">
                  <c:v>7</c:v>
                </c:pt>
                <c:pt idx="5">
                  <c:v>14</c:v>
                </c:pt>
                <c:pt idx="6">
                  <c:v>31</c:v>
                </c:pt>
                <c:pt idx="7">
                  <c:v>0</c:v>
                </c:pt>
                <c:pt idx="8">
                  <c:v>42</c:v>
                </c:pt>
                <c:pt idx="9">
                  <c:v>0</c:v>
                </c:pt>
                <c:pt idx="10">
                  <c:v>19</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92600"/>
        <c:axId val="451794168"/>
      </c:barChart>
      <c:catAx>
        <c:axId val="45179260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94168"/>
        <c:crosses val="autoZero"/>
        <c:auto val="1"/>
        <c:lblAlgn val="ctr"/>
        <c:lblOffset val="100"/>
        <c:noMultiLvlLbl val="0"/>
      </c:catAx>
      <c:valAx>
        <c:axId val="45179416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92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2021-11-15</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'November 15, 2021'!$B$2:$B$3</c:f>
              <c:strCache>
                <c:ptCount val="2"/>
                <c:pt idx="0">
                  <c:v>Total Hospital</c:v>
                </c:pt>
                <c:pt idx="1">
                  <c:v>2156</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15,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15, 2021'!$B$4:$B$16</c:f>
              <c:numCache>
                <c:formatCode>General</c:formatCode>
                <c:ptCount val="13"/>
                <c:pt idx="0">
                  <c:v>508</c:v>
                </c:pt>
                <c:pt idx="1">
                  <c:v>664</c:v>
                </c:pt>
                <c:pt idx="2" formatCode="0">
                  <c:v>279</c:v>
                </c:pt>
                <c:pt idx="3" formatCode="#,##0">
                  <c:v>244</c:v>
                </c:pt>
                <c:pt idx="4">
                  <c:v>11</c:v>
                </c:pt>
                <c:pt idx="5">
                  <c:v>32</c:v>
                </c:pt>
                <c:pt idx="6">
                  <c:v>168</c:v>
                </c:pt>
                <c:pt idx="7">
                  <c:v>0</c:v>
                </c:pt>
                <c:pt idx="8">
                  <c:v>168</c:v>
                </c:pt>
                <c:pt idx="9">
                  <c:v>1</c:v>
                </c:pt>
                <c:pt idx="10">
                  <c:v>79</c:v>
                </c:pt>
                <c:pt idx="11">
                  <c:v>2</c:v>
                </c:pt>
                <c:pt idx="12">
                  <c:v>0</c:v>
                </c:pt>
              </c:numCache>
            </c:numRef>
          </c:val>
          <c:extLst>
            <c:ext xmlns:c16="http://schemas.microsoft.com/office/drawing/2014/chart" uri="{C3380CC4-5D6E-409C-BE32-E72D297353CC}">
              <c16:uniqueId val="{00000000-EDA9-447A-B34A-7F5482B615D8}"/>
            </c:ext>
          </c:extLst>
        </c:ser>
        <c:ser>
          <c:idx val="1"/>
          <c:order val="1"/>
          <c:tx>
            <c:strRef>
              <c:f>'November 15, 2021'!$C$2:$C$3</c:f>
              <c:strCache>
                <c:ptCount val="2"/>
                <c:pt idx="0">
                  <c:v>Total ICU</c:v>
                </c:pt>
                <c:pt idx="1">
                  <c:v>517</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15,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15, 2021'!$C$4:$C$16</c:f>
              <c:numCache>
                <c:formatCode>General</c:formatCode>
                <c:ptCount val="13"/>
                <c:pt idx="0">
                  <c:v>124</c:v>
                </c:pt>
                <c:pt idx="1">
                  <c:v>110</c:v>
                </c:pt>
                <c:pt idx="2">
                  <c:v>141</c:v>
                </c:pt>
                <c:pt idx="3">
                  <c:v>42</c:v>
                </c:pt>
                <c:pt idx="4">
                  <c:v>1</c:v>
                </c:pt>
                <c:pt idx="5">
                  <c:v>12</c:v>
                </c:pt>
                <c:pt idx="6">
                  <c:v>23</c:v>
                </c:pt>
                <c:pt idx="7">
                  <c:v>0</c:v>
                </c:pt>
                <c:pt idx="8">
                  <c:v>45</c:v>
                </c:pt>
                <c:pt idx="9">
                  <c:v>0</c:v>
                </c:pt>
                <c:pt idx="10">
                  <c:v>19</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91032"/>
        <c:axId val="451793776"/>
      </c:barChart>
      <c:catAx>
        <c:axId val="45179103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93776"/>
        <c:crosses val="autoZero"/>
        <c:auto val="1"/>
        <c:lblAlgn val="ctr"/>
        <c:lblOffset val="100"/>
        <c:noMultiLvlLbl val="0"/>
      </c:catAx>
      <c:valAx>
        <c:axId val="45179377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91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2021-11-11</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'November 11, 2021'!$B$2:$B$3</c:f>
              <c:strCache>
                <c:ptCount val="2"/>
                <c:pt idx="0">
                  <c:v>Total Hospital</c:v>
                </c:pt>
                <c:pt idx="1">
                  <c:v>2349</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11,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11, 2021'!$B$4:$B$16</c:f>
              <c:numCache>
                <c:formatCode>General</c:formatCode>
                <c:ptCount val="13"/>
                <c:pt idx="0">
                  <c:v>521</c:v>
                </c:pt>
                <c:pt idx="1">
                  <c:v>705</c:v>
                </c:pt>
                <c:pt idx="2" formatCode="0">
                  <c:v>383</c:v>
                </c:pt>
                <c:pt idx="3" formatCode="#,##0">
                  <c:v>265</c:v>
                </c:pt>
                <c:pt idx="4">
                  <c:v>10</c:v>
                </c:pt>
                <c:pt idx="5">
                  <c:v>28</c:v>
                </c:pt>
                <c:pt idx="6">
                  <c:v>167</c:v>
                </c:pt>
                <c:pt idx="7">
                  <c:v>0</c:v>
                </c:pt>
                <c:pt idx="8">
                  <c:v>187</c:v>
                </c:pt>
                <c:pt idx="9">
                  <c:v>2</c:v>
                </c:pt>
                <c:pt idx="10">
                  <c:v>79</c:v>
                </c:pt>
                <c:pt idx="11">
                  <c:v>2</c:v>
                </c:pt>
                <c:pt idx="12">
                  <c:v>0</c:v>
                </c:pt>
              </c:numCache>
            </c:numRef>
          </c:val>
          <c:extLst>
            <c:ext xmlns:c16="http://schemas.microsoft.com/office/drawing/2014/chart" uri="{C3380CC4-5D6E-409C-BE32-E72D297353CC}">
              <c16:uniqueId val="{00000000-EDA9-447A-B34A-7F5482B615D8}"/>
            </c:ext>
          </c:extLst>
        </c:ser>
        <c:ser>
          <c:idx val="1"/>
          <c:order val="1"/>
          <c:tx>
            <c:strRef>
              <c:f>'November 11, 2021'!$C$2:$C$3</c:f>
              <c:strCache>
                <c:ptCount val="2"/>
                <c:pt idx="0">
                  <c:v>Total ICU</c:v>
                </c:pt>
                <c:pt idx="1">
                  <c:v>526</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11,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11, 2021'!$C$4:$C$16</c:f>
              <c:numCache>
                <c:formatCode>General</c:formatCode>
                <c:ptCount val="13"/>
                <c:pt idx="0">
                  <c:v>117</c:v>
                </c:pt>
                <c:pt idx="1">
                  <c:v>123</c:v>
                </c:pt>
                <c:pt idx="2">
                  <c:v>132</c:v>
                </c:pt>
                <c:pt idx="3">
                  <c:v>45</c:v>
                </c:pt>
                <c:pt idx="4">
                  <c:v>1</c:v>
                </c:pt>
                <c:pt idx="5">
                  <c:v>11</c:v>
                </c:pt>
                <c:pt idx="6">
                  <c:v>26</c:v>
                </c:pt>
                <c:pt idx="7">
                  <c:v>0</c:v>
                </c:pt>
                <c:pt idx="8">
                  <c:v>52</c:v>
                </c:pt>
                <c:pt idx="9">
                  <c:v>0</c:v>
                </c:pt>
                <c:pt idx="10">
                  <c:v>19</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94952"/>
        <c:axId val="451797304"/>
      </c:barChart>
      <c:catAx>
        <c:axId val="45179495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97304"/>
        <c:crosses val="autoZero"/>
        <c:auto val="1"/>
        <c:lblAlgn val="ctr"/>
        <c:lblOffset val="100"/>
        <c:noMultiLvlLbl val="0"/>
      </c:catAx>
      <c:valAx>
        <c:axId val="45179730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949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2022-07-08</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'July 8, 2022'!$B$2:$B$3</c:f>
              <c:strCache>
                <c:ptCount val="2"/>
                <c:pt idx="0">
                  <c:v>Total Hospital</c:v>
                </c:pt>
                <c:pt idx="1">
                  <c:v>3431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8,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8, 2022'!$B$4:$B$16</c:f>
              <c:numCache>
                <c:formatCode>General</c:formatCode>
                <c:ptCount val="13"/>
                <c:pt idx="0">
                  <c:v>369</c:v>
                </c:pt>
                <c:pt idx="1">
                  <c:v>568</c:v>
                </c:pt>
                <c:pt idx="2" formatCode="0">
                  <c:v>712</c:v>
                </c:pt>
                <c:pt idx="3" formatCode="#,##0">
                  <c:v>1549</c:v>
                </c:pt>
                <c:pt idx="4">
                  <c:v>31</c:v>
                </c:pt>
                <c:pt idx="5">
                  <c:v>19</c:v>
                </c:pt>
                <c:pt idx="6">
                  <c:v>46</c:v>
                </c:pt>
                <c:pt idx="7">
                  <c:v>10</c:v>
                </c:pt>
                <c:pt idx="8">
                  <c:v>119</c:v>
                </c:pt>
                <c:pt idx="9">
                  <c:v>8</c:v>
                </c:pt>
                <c:pt idx="10">
                  <c:v>0</c:v>
                </c:pt>
                <c:pt idx="11">
                  <c:v>0</c:v>
                </c:pt>
                <c:pt idx="12">
                  <c:v>0</c:v>
                </c:pt>
              </c:numCache>
            </c:numRef>
          </c:val>
          <c:extLst>
            <c:ext xmlns:c16="http://schemas.microsoft.com/office/drawing/2014/chart" uri="{C3380CC4-5D6E-409C-BE32-E72D297353CC}">
              <c16:uniqueId val="{00000000-40D4-4078-BC1A-DC0D78796BAE}"/>
            </c:ext>
          </c:extLst>
        </c:ser>
        <c:ser>
          <c:idx val="1"/>
          <c:order val="1"/>
          <c:tx>
            <c:strRef>
              <c:f>'July 8, 2022'!$C$2:$C$3</c:f>
              <c:strCache>
                <c:ptCount val="2"/>
                <c:pt idx="0">
                  <c:v>Total ICU</c:v>
                </c:pt>
                <c:pt idx="1">
                  <c:v>226</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0D4-4078-BC1A-DC0D78796B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8,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8, 2022'!$C$4:$C$16</c:f>
              <c:numCache>
                <c:formatCode>General</c:formatCode>
                <c:ptCount val="13"/>
                <c:pt idx="0">
                  <c:v>36</c:v>
                </c:pt>
                <c:pt idx="1">
                  <c:v>21</c:v>
                </c:pt>
                <c:pt idx="2">
                  <c:v>110</c:v>
                </c:pt>
                <c:pt idx="3">
                  <c:v>41</c:v>
                </c:pt>
                <c:pt idx="4">
                  <c:v>4</c:v>
                </c:pt>
                <c:pt idx="5">
                  <c:v>1</c:v>
                </c:pt>
                <c:pt idx="6">
                  <c:v>7</c:v>
                </c:pt>
                <c:pt idx="7">
                  <c:v>1</c:v>
                </c:pt>
                <c:pt idx="8">
                  <c:v>4</c:v>
                </c:pt>
                <c:pt idx="9">
                  <c:v>1</c:v>
                </c:pt>
                <c:pt idx="10">
                  <c:v>0</c:v>
                </c:pt>
                <c:pt idx="11">
                  <c:v>0</c:v>
                </c:pt>
                <c:pt idx="12">
                  <c:v>0</c:v>
                </c:pt>
              </c:numCache>
            </c:numRef>
          </c:val>
          <c:extLst>
            <c:ext xmlns:c16="http://schemas.microsoft.com/office/drawing/2014/chart" uri="{C3380CC4-5D6E-409C-BE32-E72D297353CC}">
              <c16:uniqueId val="{00000002-40D4-4078-BC1A-DC0D78796BAE}"/>
            </c:ext>
          </c:extLst>
        </c:ser>
        <c:dLbls>
          <c:dLblPos val="outEnd"/>
          <c:showLegendKey val="0"/>
          <c:showVal val="1"/>
          <c:showCatName val="0"/>
          <c:showSerName val="0"/>
          <c:showPercent val="0"/>
          <c:showBubbleSize val="0"/>
        </c:dLbls>
        <c:gapWidth val="100"/>
        <c:overlap val="-24"/>
        <c:axId val="528188568"/>
        <c:axId val="528192880"/>
      </c:barChart>
      <c:catAx>
        <c:axId val="5281885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92880"/>
        <c:crosses val="autoZero"/>
        <c:auto val="1"/>
        <c:lblAlgn val="ctr"/>
        <c:lblOffset val="100"/>
        <c:noMultiLvlLbl val="0"/>
      </c:catAx>
      <c:valAx>
        <c:axId val="5281928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88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2021-11-08</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'November 8, 2021'!$B$2:$B$3</c:f>
              <c:strCache>
                <c:ptCount val="2"/>
                <c:pt idx="0">
                  <c:v>Total Hospital</c:v>
                </c:pt>
                <c:pt idx="1">
                  <c:v>2321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8,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8, 2021'!$B$4:$B$16</c:f>
              <c:numCache>
                <c:formatCode>General</c:formatCode>
                <c:ptCount val="13"/>
                <c:pt idx="0">
                  <c:v>570</c:v>
                </c:pt>
                <c:pt idx="1">
                  <c:v>801</c:v>
                </c:pt>
                <c:pt idx="2" formatCode="0">
                  <c:v>232</c:v>
                </c:pt>
                <c:pt idx="3" formatCode="#,##0">
                  <c:v>273</c:v>
                </c:pt>
                <c:pt idx="4">
                  <c:v>9</c:v>
                </c:pt>
                <c:pt idx="5">
                  <c:v>24</c:v>
                </c:pt>
                <c:pt idx="6">
                  <c:v>139</c:v>
                </c:pt>
                <c:pt idx="7">
                  <c:v>0</c:v>
                </c:pt>
                <c:pt idx="8">
                  <c:v>191</c:v>
                </c:pt>
                <c:pt idx="9">
                  <c:v>1</c:v>
                </c:pt>
                <c:pt idx="10">
                  <c:v>79</c:v>
                </c:pt>
                <c:pt idx="11">
                  <c:v>2</c:v>
                </c:pt>
                <c:pt idx="12">
                  <c:v>0</c:v>
                </c:pt>
              </c:numCache>
            </c:numRef>
          </c:val>
          <c:extLst>
            <c:ext xmlns:c16="http://schemas.microsoft.com/office/drawing/2014/chart" uri="{C3380CC4-5D6E-409C-BE32-E72D297353CC}">
              <c16:uniqueId val="{00000000-EDA9-447A-B34A-7F5482B615D8}"/>
            </c:ext>
          </c:extLst>
        </c:ser>
        <c:ser>
          <c:idx val="1"/>
          <c:order val="1"/>
          <c:tx>
            <c:strRef>
              <c:f>'November 8, 2021'!$C$2:$C$3</c:f>
              <c:strCache>
                <c:ptCount val="2"/>
                <c:pt idx="0">
                  <c:v>Total ICU</c:v>
                </c:pt>
                <c:pt idx="1">
                  <c:v>545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8,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8, 2021'!$C$4:$C$16</c:f>
              <c:numCache>
                <c:formatCode>General</c:formatCode>
                <c:ptCount val="13"/>
                <c:pt idx="0">
                  <c:v>129</c:v>
                </c:pt>
                <c:pt idx="1">
                  <c:v>141</c:v>
                </c:pt>
                <c:pt idx="2">
                  <c:v>127</c:v>
                </c:pt>
                <c:pt idx="3">
                  <c:v>48</c:v>
                </c:pt>
                <c:pt idx="4">
                  <c:v>1</c:v>
                </c:pt>
                <c:pt idx="5">
                  <c:v>9</c:v>
                </c:pt>
                <c:pt idx="6">
                  <c:v>24</c:v>
                </c:pt>
                <c:pt idx="7">
                  <c:v>0</c:v>
                </c:pt>
                <c:pt idx="8">
                  <c:v>47</c:v>
                </c:pt>
                <c:pt idx="9">
                  <c:v>0</c:v>
                </c:pt>
                <c:pt idx="10">
                  <c:v>19</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803184"/>
        <c:axId val="451804360"/>
      </c:barChart>
      <c:catAx>
        <c:axId val="45180318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04360"/>
        <c:crosses val="autoZero"/>
        <c:auto val="1"/>
        <c:lblAlgn val="ctr"/>
        <c:lblOffset val="100"/>
        <c:noMultiLvlLbl val="0"/>
      </c:catAx>
      <c:valAx>
        <c:axId val="45180436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03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2021-11-05</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'November 5, 2021'!$B$2:$B$3</c:f>
              <c:strCache>
                <c:ptCount val="2"/>
                <c:pt idx="0">
                  <c:v>Total Hospital</c:v>
                </c:pt>
                <c:pt idx="1">
                  <c:v>2615</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5,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5, 2021'!$B$4:$B$16</c:f>
              <c:numCache>
                <c:formatCode>General</c:formatCode>
                <c:ptCount val="13"/>
                <c:pt idx="0">
                  <c:v>568</c:v>
                </c:pt>
                <c:pt idx="1">
                  <c:v>823</c:v>
                </c:pt>
                <c:pt idx="2" formatCode="0">
                  <c:v>364</c:v>
                </c:pt>
                <c:pt idx="3" formatCode="#,##0">
                  <c:v>304</c:v>
                </c:pt>
                <c:pt idx="4">
                  <c:v>9</c:v>
                </c:pt>
                <c:pt idx="5">
                  <c:v>30</c:v>
                </c:pt>
                <c:pt idx="6">
                  <c:v>139</c:v>
                </c:pt>
                <c:pt idx="7">
                  <c:v>0</c:v>
                </c:pt>
                <c:pt idx="8">
                  <c:v>210</c:v>
                </c:pt>
                <c:pt idx="9">
                  <c:v>1</c:v>
                </c:pt>
                <c:pt idx="10">
                  <c:v>80</c:v>
                </c:pt>
                <c:pt idx="11">
                  <c:v>87</c:v>
                </c:pt>
                <c:pt idx="12">
                  <c:v>0</c:v>
                </c:pt>
              </c:numCache>
            </c:numRef>
          </c:val>
          <c:extLst>
            <c:ext xmlns:c16="http://schemas.microsoft.com/office/drawing/2014/chart" uri="{C3380CC4-5D6E-409C-BE32-E72D297353CC}">
              <c16:uniqueId val="{00000000-EDA9-447A-B34A-7F5482B615D8}"/>
            </c:ext>
          </c:extLst>
        </c:ser>
        <c:ser>
          <c:idx val="1"/>
          <c:order val="1"/>
          <c:tx>
            <c:strRef>
              <c:f>'November 5, 2021'!$C$2:$C$3</c:f>
              <c:strCache>
                <c:ptCount val="2"/>
                <c:pt idx="0">
                  <c:v>Total ICU</c:v>
                </c:pt>
                <c:pt idx="1">
                  <c:v>570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5,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5, 2021'!$C$4:$C$16</c:f>
              <c:numCache>
                <c:formatCode>General</c:formatCode>
                <c:ptCount val="13"/>
                <c:pt idx="0">
                  <c:v>130</c:v>
                </c:pt>
                <c:pt idx="1">
                  <c:v>146</c:v>
                </c:pt>
                <c:pt idx="2">
                  <c:v>130</c:v>
                </c:pt>
                <c:pt idx="3">
                  <c:v>63</c:v>
                </c:pt>
                <c:pt idx="4">
                  <c:v>1</c:v>
                </c:pt>
                <c:pt idx="5">
                  <c:v>12</c:v>
                </c:pt>
                <c:pt idx="6">
                  <c:v>24</c:v>
                </c:pt>
                <c:pt idx="7">
                  <c:v>0</c:v>
                </c:pt>
                <c:pt idx="8">
                  <c:v>45</c:v>
                </c:pt>
                <c:pt idx="9">
                  <c:v>0</c:v>
                </c:pt>
                <c:pt idx="10">
                  <c:v>19</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804752"/>
        <c:axId val="451805928"/>
      </c:barChart>
      <c:catAx>
        <c:axId val="45180475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05928"/>
        <c:crosses val="autoZero"/>
        <c:auto val="1"/>
        <c:lblAlgn val="ctr"/>
        <c:lblOffset val="100"/>
        <c:noMultiLvlLbl val="0"/>
      </c:catAx>
      <c:valAx>
        <c:axId val="45180592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04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2021-11-03</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'November 3, 2021'!$B$2:$B$3</c:f>
              <c:strCache>
                <c:ptCount val="2"/>
                <c:pt idx="0">
                  <c:v>Total Hospital</c:v>
                </c:pt>
                <c:pt idx="1">
                  <c:v>2685</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3,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3, 2021'!$B$4:$B$16</c:f>
              <c:numCache>
                <c:formatCode>General</c:formatCode>
                <c:ptCount val="13"/>
                <c:pt idx="0">
                  <c:v>591</c:v>
                </c:pt>
                <c:pt idx="1">
                  <c:v>850</c:v>
                </c:pt>
                <c:pt idx="2" formatCode="0">
                  <c:v>374</c:v>
                </c:pt>
                <c:pt idx="3" formatCode="#,##0">
                  <c:v>318</c:v>
                </c:pt>
                <c:pt idx="4">
                  <c:v>8</c:v>
                </c:pt>
                <c:pt idx="5">
                  <c:v>38</c:v>
                </c:pt>
                <c:pt idx="6">
                  <c:v>123</c:v>
                </c:pt>
                <c:pt idx="7">
                  <c:v>0</c:v>
                </c:pt>
                <c:pt idx="8">
                  <c:v>222</c:v>
                </c:pt>
                <c:pt idx="9">
                  <c:v>1</c:v>
                </c:pt>
                <c:pt idx="10">
                  <c:v>80</c:v>
                </c:pt>
                <c:pt idx="11">
                  <c:v>80</c:v>
                </c:pt>
                <c:pt idx="12">
                  <c:v>0</c:v>
                </c:pt>
              </c:numCache>
            </c:numRef>
          </c:val>
          <c:extLst>
            <c:ext xmlns:c16="http://schemas.microsoft.com/office/drawing/2014/chart" uri="{C3380CC4-5D6E-409C-BE32-E72D297353CC}">
              <c16:uniqueId val="{00000000-EDA9-447A-B34A-7F5482B615D8}"/>
            </c:ext>
          </c:extLst>
        </c:ser>
        <c:ser>
          <c:idx val="1"/>
          <c:order val="1"/>
          <c:tx>
            <c:strRef>
              <c:f>'November 3, 2021'!$C$2:$C$3</c:f>
              <c:strCache>
                <c:ptCount val="2"/>
                <c:pt idx="0">
                  <c:v>Total ICU</c:v>
                </c:pt>
                <c:pt idx="1">
                  <c:v>627</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3,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3, 2021'!$C$4:$C$16</c:f>
              <c:numCache>
                <c:formatCode>General</c:formatCode>
                <c:ptCount val="13"/>
                <c:pt idx="0">
                  <c:v>155</c:v>
                </c:pt>
                <c:pt idx="1">
                  <c:v>159</c:v>
                </c:pt>
                <c:pt idx="2">
                  <c:v>137</c:v>
                </c:pt>
                <c:pt idx="3">
                  <c:v>70</c:v>
                </c:pt>
                <c:pt idx="4">
                  <c:v>0</c:v>
                </c:pt>
                <c:pt idx="5">
                  <c:v>14</c:v>
                </c:pt>
                <c:pt idx="6">
                  <c:v>25</c:v>
                </c:pt>
                <c:pt idx="7">
                  <c:v>0</c:v>
                </c:pt>
                <c:pt idx="8">
                  <c:v>48</c:v>
                </c:pt>
                <c:pt idx="9">
                  <c:v>0</c:v>
                </c:pt>
                <c:pt idx="10">
                  <c:v>19</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808672"/>
        <c:axId val="451800832"/>
      </c:barChart>
      <c:catAx>
        <c:axId val="45180867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00832"/>
        <c:crosses val="autoZero"/>
        <c:auto val="1"/>
        <c:lblAlgn val="ctr"/>
        <c:lblOffset val="100"/>
        <c:noMultiLvlLbl val="0"/>
      </c:catAx>
      <c:valAx>
        <c:axId val="45180083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08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2021-11-01</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'November 1, 2021'!$B$2:$B$3</c:f>
              <c:strCache>
                <c:ptCount val="2"/>
                <c:pt idx="0">
                  <c:v>Total Hospital</c:v>
                </c:pt>
                <c:pt idx="1">
                  <c:v>2658</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1,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1, 2021'!$B$4:$B$16</c:f>
              <c:numCache>
                <c:formatCode>General</c:formatCode>
                <c:ptCount val="13"/>
                <c:pt idx="0">
                  <c:v>591</c:v>
                </c:pt>
                <c:pt idx="1">
                  <c:v>945</c:v>
                </c:pt>
                <c:pt idx="2" formatCode="0">
                  <c:v>267</c:v>
                </c:pt>
                <c:pt idx="3" formatCode="#,##0">
                  <c:v>311</c:v>
                </c:pt>
                <c:pt idx="4">
                  <c:v>10</c:v>
                </c:pt>
                <c:pt idx="5">
                  <c:v>36</c:v>
                </c:pt>
                <c:pt idx="6">
                  <c:v>123</c:v>
                </c:pt>
                <c:pt idx="7">
                  <c:v>0</c:v>
                </c:pt>
                <c:pt idx="8">
                  <c:v>226</c:v>
                </c:pt>
                <c:pt idx="9">
                  <c:v>1</c:v>
                </c:pt>
                <c:pt idx="10">
                  <c:v>78</c:v>
                </c:pt>
                <c:pt idx="11">
                  <c:v>70</c:v>
                </c:pt>
                <c:pt idx="12">
                  <c:v>0</c:v>
                </c:pt>
              </c:numCache>
            </c:numRef>
          </c:val>
          <c:extLst>
            <c:ext xmlns:c16="http://schemas.microsoft.com/office/drawing/2014/chart" uri="{C3380CC4-5D6E-409C-BE32-E72D297353CC}">
              <c16:uniqueId val="{00000000-EDA9-447A-B34A-7F5482B615D8}"/>
            </c:ext>
          </c:extLst>
        </c:ser>
        <c:ser>
          <c:idx val="1"/>
          <c:order val="1"/>
          <c:tx>
            <c:strRef>
              <c:f>'November 1, 2021'!$C$2:$C$3</c:f>
              <c:strCache>
                <c:ptCount val="2"/>
                <c:pt idx="0">
                  <c:v>Total ICU</c:v>
                </c:pt>
                <c:pt idx="1">
                  <c:v>646</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1,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1, 2021'!$C$4:$C$16</c:f>
              <c:numCache>
                <c:formatCode>General</c:formatCode>
                <c:ptCount val="13"/>
                <c:pt idx="0">
                  <c:v>155</c:v>
                </c:pt>
                <c:pt idx="1">
                  <c:v>180</c:v>
                </c:pt>
                <c:pt idx="2">
                  <c:v>133</c:v>
                </c:pt>
                <c:pt idx="3">
                  <c:v>67</c:v>
                </c:pt>
                <c:pt idx="4">
                  <c:v>0</c:v>
                </c:pt>
                <c:pt idx="5">
                  <c:v>13</c:v>
                </c:pt>
                <c:pt idx="6">
                  <c:v>25</c:v>
                </c:pt>
                <c:pt idx="7">
                  <c:v>0</c:v>
                </c:pt>
                <c:pt idx="8">
                  <c:v>54</c:v>
                </c:pt>
                <c:pt idx="9">
                  <c:v>0</c:v>
                </c:pt>
                <c:pt idx="10">
                  <c:v>19</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98872"/>
        <c:axId val="451801616"/>
      </c:barChart>
      <c:catAx>
        <c:axId val="45179887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01616"/>
        <c:crosses val="autoZero"/>
        <c:auto val="1"/>
        <c:lblAlgn val="ctr"/>
        <c:lblOffset val="100"/>
        <c:noMultiLvlLbl val="0"/>
      </c:catAx>
      <c:valAx>
        <c:axId val="45180161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98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2021-10-28</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'October 28, 2021'!$B$2:$B$3</c:f>
              <c:strCache>
                <c:ptCount val="2"/>
                <c:pt idx="0">
                  <c:v>Total Hospital</c:v>
                </c:pt>
                <c:pt idx="1">
                  <c:v>2777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28,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28, 2021'!$B$4:$B$16</c:f>
              <c:numCache>
                <c:formatCode>General</c:formatCode>
                <c:ptCount val="13"/>
                <c:pt idx="0">
                  <c:v>579</c:v>
                </c:pt>
                <c:pt idx="1">
                  <c:v>994</c:v>
                </c:pt>
                <c:pt idx="2" formatCode="0">
                  <c:v>329</c:v>
                </c:pt>
                <c:pt idx="3" formatCode="#,##0">
                  <c:v>321</c:v>
                </c:pt>
                <c:pt idx="4">
                  <c:v>10</c:v>
                </c:pt>
                <c:pt idx="5">
                  <c:v>48</c:v>
                </c:pt>
                <c:pt idx="6">
                  <c:v>77</c:v>
                </c:pt>
                <c:pt idx="7">
                  <c:v>0</c:v>
                </c:pt>
                <c:pt idx="8">
                  <c:v>271</c:v>
                </c:pt>
                <c:pt idx="9">
                  <c:v>1</c:v>
                </c:pt>
                <c:pt idx="10">
                  <c:v>78</c:v>
                </c:pt>
                <c:pt idx="11">
                  <c:v>69</c:v>
                </c:pt>
                <c:pt idx="12">
                  <c:v>0</c:v>
                </c:pt>
              </c:numCache>
            </c:numRef>
          </c:val>
          <c:extLst>
            <c:ext xmlns:c16="http://schemas.microsoft.com/office/drawing/2014/chart" uri="{C3380CC4-5D6E-409C-BE32-E72D297353CC}">
              <c16:uniqueId val="{00000000-EDA9-447A-B34A-7F5482B615D8}"/>
            </c:ext>
          </c:extLst>
        </c:ser>
        <c:ser>
          <c:idx val="1"/>
          <c:order val="1"/>
          <c:tx>
            <c:strRef>
              <c:f>'October 28, 2021'!$C$2:$C$3</c:f>
              <c:strCache>
                <c:ptCount val="2"/>
                <c:pt idx="0">
                  <c:v>Total ICU</c:v>
                </c:pt>
                <c:pt idx="1">
                  <c:v>650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28,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28, 2021'!$C$4:$C$16</c:f>
              <c:numCache>
                <c:formatCode>General</c:formatCode>
                <c:ptCount val="13"/>
                <c:pt idx="0">
                  <c:v>157</c:v>
                </c:pt>
                <c:pt idx="1">
                  <c:v>184</c:v>
                </c:pt>
                <c:pt idx="2">
                  <c:v>132</c:v>
                </c:pt>
                <c:pt idx="3">
                  <c:v>67</c:v>
                </c:pt>
                <c:pt idx="4">
                  <c:v>1</c:v>
                </c:pt>
                <c:pt idx="5">
                  <c:v>15</c:v>
                </c:pt>
                <c:pt idx="6">
                  <c:v>18</c:v>
                </c:pt>
                <c:pt idx="7">
                  <c:v>0</c:v>
                </c:pt>
                <c:pt idx="8">
                  <c:v>57</c:v>
                </c:pt>
                <c:pt idx="9">
                  <c:v>0</c:v>
                </c:pt>
                <c:pt idx="10">
                  <c:v>19</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805144"/>
        <c:axId val="451809064"/>
      </c:barChart>
      <c:catAx>
        <c:axId val="45180514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09064"/>
        <c:crosses val="autoZero"/>
        <c:auto val="1"/>
        <c:lblAlgn val="ctr"/>
        <c:lblOffset val="100"/>
        <c:noMultiLvlLbl val="0"/>
      </c:catAx>
      <c:valAx>
        <c:axId val="45180906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051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2021-10-26</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'October 26, 2021'!$B$2:$B$3</c:f>
              <c:strCache>
                <c:ptCount val="2"/>
                <c:pt idx="0">
                  <c:v>Total Hospital</c:v>
                </c:pt>
                <c:pt idx="1">
                  <c:v>2824</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26,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26, 2021'!$B$4:$B$16</c:f>
              <c:numCache>
                <c:formatCode>General</c:formatCode>
                <c:ptCount val="13"/>
                <c:pt idx="0">
                  <c:v>507</c:v>
                </c:pt>
                <c:pt idx="1">
                  <c:v>1003</c:v>
                </c:pt>
                <c:pt idx="2" formatCode="0">
                  <c:v>371</c:v>
                </c:pt>
                <c:pt idx="3" formatCode="#,##0">
                  <c:v>325</c:v>
                </c:pt>
                <c:pt idx="4">
                  <c:v>11</c:v>
                </c:pt>
                <c:pt idx="5">
                  <c:v>53</c:v>
                </c:pt>
                <c:pt idx="6">
                  <c:v>103</c:v>
                </c:pt>
                <c:pt idx="7">
                  <c:v>0</c:v>
                </c:pt>
                <c:pt idx="8">
                  <c:v>293</c:v>
                </c:pt>
                <c:pt idx="9">
                  <c:v>1</c:v>
                </c:pt>
                <c:pt idx="10">
                  <c:v>78</c:v>
                </c:pt>
                <c:pt idx="11">
                  <c:v>79</c:v>
                </c:pt>
                <c:pt idx="12">
                  <c:v>0</c:v>
                </c:pt>
              </c:numCache>
            </c:numRef>
          </c:val>
          <c:extLst>
            <c:ext xmlns:c16="http://schemas.microsoft.com/office/drawing/2014/chart" uri="{C3380CC4-5D6E-409C-BE32-E72D297353CC}">
              <c16:uniqueId val="{00000000-EDA9-447A-B34A-7F5482B615D8}"/>
            </c:ext>
          </c:extLst>
        </c:ser>
        <c:ser>
          <c:idx val="1"/>
          <c:order val="1"/>
          <c:tx>
            <c:strRef>
              <c:f>'October 26, 2021'!$C$2:$C$3</c:f>
              <c:strCache>
                <c:ptCount val="2"/>
                <c:pt idx="0">
                  <c:v>Total ICU</c:v>
                </c:pt>
                <c:pt idx="1">
                  <c:v>654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26,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26, 2021'!$C$4:$C$16</c:f>
              <c:numCache>
                <c:formatCode>General</c:formatCode>
                <c:ptCount val="13"/>
                <c:pt idx="0">
                  <c:v>142</c:v>
                </c:pt>
                <c:pt idx="1">
                  <c:v>182</c:v>
                </c:pt>
                <c:pt idx="2">
                  <c:v>138</c:v>
                </c:pt>
                <c:pt idx="3">
                  <c:v>66</c:v>
                </c:pt>
                <c:pt idx="4">
                  <c:v>2</c:v>
                </c:pt>
                <c:pt idx="5">
                  <c:v>14</c:v>
                </c:pt>
                <c:pt idx="6">
                  <c:v>20</c:v>
                </c:pt>
                <c:pt idx="7">
                  <c:v>0</c:v>
                </c:pt>
                <c:pt idx="8">
                  <c:v>71</c:v>
                </c:pt>
                <c:pt idx="9">
                  <c:v>0</c:v>
                </c:pt>
                <c:pt idx="10">
                  <c:v>19</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99264"/>
        <c:axId val="451809456"/>
      </c:barChart>
      <c:catAx>
        <c:axId val="45179926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09456"/>
        <c:crosses val="autoZero"/>
        <c:auto val="1"/>
        <c:lblAlgn val="ctr"/>
        <c:lblOffset val="100"/>
        <c:noMultiLvlLbl val="0"/>
      </c:catAx>
      <c:valAx>
        <c:axId val="45180945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99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2021-10-21</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'October 21, 2021'!$B$2:$B$3</c:f>
              <c:strCache>
                <c:ptCount val="2"/>
                <c:pt idx="0">
                  <c:v>Total Hospital</c:v>
                </c:pt>
                <c:pt idx="1">
                  <c:v>3096</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21,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21, 2021'!$B$4:$B$16</c:f>
              <c:numCache>
                <c:formatCode>General</c:formatCode>
                <c:ptCount val="13"/>
                <c:pt idx="0">
                  <c:v>518</c:v>
                </c:pt>
                <c:pt idx="1">
                  <c:v>1131</c:v>
                </c:pt>
                <c:pt idx="2" formatCode="0">
                  <c:v>435</c:v>
                </c:pt>
                <c:pt idx="3" formatCode="#,##0">
                  <c:v>346</c:v>
                </c:pt>
                <c:pt idx="4">
                  <c:v>15</c:v>
                </c:pt>
                <c:pt idx="5">
                  <c:v>71</c:v>
                </c:pt>
                <c:pt idx="6">
                  <c:v>107</c:v>
                </c:pt>
                <c:pt idx="7">
                  <c:v>0</c:v>
                </c:pt>
                <c:pt idx="8">
                  <c:v>322</c:v>
                </c:pt>
                <c:pt idx="9">
                  <c:v>5</c:v>
                </c:pt>
                <c:pt idx="10">
                  <c:v>77</c:v>
                </c:pt>
                <c:pt idx="11">
                  <c:v>69</c:v>
                </c:pt>
                <c:pt idx="12">
                  <c:v>0</c:v>
                </c:pt>
              </c:numCache>
            </c:numRef>
          </c:val>
          <c:extLst>
            <c:ext xmlns:c16="http://schemas.microsoft.com/office/drawing/2014/chart" uri="{C3380CC4-5D6E-409C-BE32-E72D297353CC}">
              <c16:uniqueId val="{00000000-EDA9-447A-B34A-7F5482B615D8}"/>
            </c:ext>
          </c:extLst>
        </c:ser>
        <c:ser>
          <c:idx val="1"/>
          <c:order val="1"/>
          <c:tx>
            <c:strRef>
              <c:f>'October 21, 2021'!$C$2:$C$3</c:f>
              <c:strCache>
                <c:ptCount val="2"/>
                <c:pt idx="0">
                  <c:v>Total ICU</c:v>
                </c:pt>
                <c:pt idx="1">
                  <c:v>711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21,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21, 2021'!$C$4:$C$16</c:f>
              <c:numCache>
                <c:formatCode>General</c:formatCode>
                <c:ptCount val="13"/>
                <c:pt idx="0">
                  <c:v>139</c:v>
                </c:pt>
                <c:pt idx="1">
                  <c:v>203</c:v>
                </c:pt>
                <c:pt idx="2">
                  <c:v>161</c:v>
                </c:pt>
                <c:pt idx="3">
                  <c:v>72</c:v>
                </c:pt>
                <c:pt idx="4">
                  <c:v>5</c:v>
                </c:pt>
                <c:pt idx="5">
                  <c:v>16</c:v>
                </c:pt>
                <c:pt idx="6">
                  <c:v>20</c:v>
                </c:pt>
                <c:pt idx="7">
                  <c:v>0</c:v>
                </c:pt>
                <c:pt idx="8">
                  <c:v>76</c:v>
                </c:pt>
                <c:pt idx="9">
                  <c:v>0</c:v>
                </c:pt>
                <c:pt idx="10">
                  <c:v>19</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801224"/>
        <c:axId val="451806320"/>
      </c:barChart>
      <c:catAx>
        <c:axId val="45180122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06320"/>
        <c:crosses val="autoZero"/>
        <c:auto val="1"/>
        <c:lblAlgn val="ctr"/>
        <c:lblOffset val="100"/>
        <c:noMultiLvlLbl val="0"/>
      </c:catAx>
      <c:valAx>
        <c:axId val="45180632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012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2021-10-20</a:t>
            </a:r>
          </a:p>
        </c:rich>
      </c:tx>
      <c:layout>
        <c:manualLayout>
          <c:xMode val="edge"/>
          <c:yMode val="edge"/>
          <c:x val="0.12829946229739789"/>
          <c:y val="4.717884913539838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'October 20, 2021'!$B$2:$B$3</c:f>
              <c:strCache>
                <c:ptCount val="2"/>
                <c:pt idx="0">
                  <c:v>Total Hospital</c:v>
                </c:pt>
                <c:pt idx="1">
                  <c:v>3162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20,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20, 2021'!$B$4:$B$16</c:f>
              <c:numCache>
                <c:formatCode>General</c:formatCode>
                <c:ptCount val="13"/>
                <c:pt idx="0">
                  <c:v>528</c:v>
                </c:pt>
                <c:pt idx="1">
                  <c:v>1182</c:v>
                </c:pt>
                <c:pt idx="2" formatCode="0">
                  <c:v>417</c:v>
                </c:pt>
                <c:pt idx="3" formatCode="#,##0">
                  <c:v>359</c:v>
                </c:pt>
                <c:pt idx="4">
                  <c:v>14</c:v>
                </c:pt>
                <c:pt idx="5">
                  <c:v>75</c:v>
                </c:pt>
                <c:pt idx="6">
                  <c:v>106</c:v>
                </c:pt>
                <c:pt idx="7">
                  <c:v>0</c:v>
                </c:pt>
                <c:pt idx="8">
                  <c:v>335</c:v>
                </c:pt>
                <c:pt idx="9">
                  <c:v>5</c:v>
                </c:pt>
                <c:pt idx="10">
                  <c:v>77</c:v>
                </c:pt>
                <c:pt idx="11">
                  <c:v>64</c:v>
                </c:pt>
                <c:pt idx="12">
                  <c:v>0</c:v>
                </c:pt>
              </c:numCache>
            </c:numRef>
          </c:val>
          <c:extLst>
            <c:ext xmlns:c16="http://schemas.microsoft.com/office/drawing/2014/chart" uri="{C3380CC4-5D6E-409C-BE32-E72D297353CC}">
              <c16:uniqueId val="{00000000-9263-4132-B12D-BE2C19199D99}"/>
            </c:ext>
          </c:extLst>
        </c:ser>
        <c:ser>
          <c:idx val="1"/>
          <c:order val="1"/>
          <c:tx>
            <c:strRef>
              <c:f>'October 20, 2021'!$C$2:$C$3</c:f>
              <c:strCache>
                <c:ptCount val="2"/>
                <c:pt idx="0">
                  <c:v>Total ICU</c:v>
                </c:pt>
                <c:pt idx="1">
                  <c:v>735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63-4132-B12D-BE2C19199D9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20,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20, 2021'!$C$4:$C$16</c:f>
              <c:numCache>
                <c:formatCode>General</c:formatCode>
                <c:ptCount val="13"/>
                <c:pt idx="0">
                  <c:v>146</c:v>
                </c:pt>
                <c:pt idx="1">
                  <c:v>218</c:v>
                </c:pt>
                <c:pt idx="2">
                  <c:v>159</c:v>
                </c:pt>
                <c:pt idx="3">
                  <c:v>72</c:v>
                </c:pt>
                <c:pt idx="4">
                  <c:v>4</c:v>
                </c:pt>
                <c:pt idx="5">
                  <c:v>18</c:v>
                </c:pt>
                <c:pt idx="6">
                  <c:v>16</c:v>
                </c:pt>
                <c:pt idx="7">
                  <c:v>0</c:v>
                </c:pt>
                <c:pt idx="8">
                  <c:v>83</c:v>
                </c:pt>
                <c:pt idx="9">
                  <c:v>0</c:v>
                </c:pt>
                <c:pt idx="10">
                  <c:v>19</c:v>
                </c:pt>
                <c:pt idx="11">
                  <c:v>0</c:v>
                </c:pt>
                <c:pt idx="12">
                  <c:v>0</c:v>
                </c:pt>
              </c:numCache>
            </c:numRef>
          </c:val>
          <c:extLst>
            <c:ext xmlns:c16="http://schemas.microsoft.com/office/drawing/2014/chart" uri="{C3380CC4-5D6E-409C-BE32-E72D297353CC}">
              <c16:uniqueId val="{00000002-9263-4132-B12D-BE2C19199D99}"/>
            </c:ext>
          </c:extLst>
        </c:ser>
        <c:dLbls>
          <c:dLblPos val="outEnd"/>
          <c:showLegendKey val="0"/>
          <c:showVal val="1"/>
          <c:showCatName val="0"/>
          <c:showSerName val="0"/>
          <c:showPercent val="0"/>
          <c:showBubbleSize val="0"/>
        </c:dLbls>
        <c:gapWidth val="100"/>
        <c:overlap val="-24"/>
        <c:axId val="451802008"/>
        <c:axId val="451802400"/>
      </c:barChart>
      <c:catAx>
        <c:axId val="45180200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02400"/>
        <c:crosses val="autoZero"/>
        <c:auto val="1"/>
        <c:lblAlgn val="ctr"/>
        <c:lblOffset val="100"/>
        <c:noMultiLvlLbl val="0"/>
      </c:catAx>
      <c:valAx>
        <c:axId val="45180240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02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2021-10-18</a:t>
            </a:r>
          </a:p>
        </c:rich>
      </c:tx>
      <c:layout>
        <c:manualLayout>
          <c:xMode val="edge"/>
          <c:yMode val="edge"/>
          <c:x val="0.12829946229739789"/>
          <c:y val="3.3036997829726911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'October 18, 2021'!$B$2:$B$3</c:f>
              <c:strCache>
                <c:ptCount val="2"/>
                <c:pt idx="0">
                  <c:v>Total Hospital</c:v>
                </c:pt>
                <c:pt idx="1">
                  <c:v>3018</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18,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18, 2021'!$B$4:$B$16</c:f>
              <c:numCache>
                <c:formatCode>General</c:formatCode>
                <c:ptCount val="13"/>
                <c:pt idx="0">
                  <c:v>519</c:v>
                </c:pt>
                <c:pt idx="1">
                  <c:v>1229</c:v>
                </c:pt>
                <c:pt idx="2" formatCode="0">
                  <c:v>313</c:v>
                </c:pt>
                <c:pt idx="3" formatCode="#,##0">
                  <c:v>280</c:v>
                </c:pt>
                <c:pt idx="4">
                  <c:v>14</c:v>
                </c:pt>
                <c:pt idx="5">
                  <c:v>81</c:v>
                </c:pt>
                <c:pt idx="6">
                  <c:v>106</c:v>
                </c:pt>
                <c:pt idx="7">
                  <c:v>0</c:v>
                </c:pt>
                <c:pt idx="8">
                  <c:v>335</c:v>
                </c:pt>
                <c:pt idx="9">
                  <c:v>6</c:v>
                </c:pt>
                <c:pt idx="10">
                  <c:v>72</c:v>
                </c:pt>
                <c:pt idx="11">
                  <c:v>63</c:v>
                </c:pt>
                <c:pt idx="12">
                  <c:v>0</c:v>
                </c:pt>
              </c:numCache>
            </c:numRef>
          </c:val>
          <c:extLst>
            <c:ext xmlns:c16="http://schemas.microsoft.com/office/drawing/2014/chart" uri="{C3380CC4-5D6E-409C-BE32-E72D297353CC}">
              <c16:uniqueId val="{00000000-F4EA-463E-89F8-854CEDC17CB2}"/>
            </c:ext>
          </c:extLst>
        </c:ser>
        <c:ser>
          <c:idx val="1"/>
          <c:order val="1"/>
          <c:tx>
            <c:strRef>
              <c:f>'October 18, 2021'!$C$2:$C$3</c:f>
              <c:strCache>
                <c:ptCount val="2"/>
                <c:pt idx="0">
                  <c:v>Total ICU</c:v>
                </c:pt>
                <c:pt idx="1">
                  <c:v>765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4EA-463E-89F8-854CEDC17CB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18,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18, 2021'!$C$4:$C$16</c:f>
              <c:numCache>
                <c:formatCode>General</c:formatCode>
                <c:ptCount val="13"/>
                <c:pt idx="0">
                  <c:v>152</c:v>
                </c:pt>
                <c:pt idx="1">
                  <c:v>229</c:v>
                </c:pt>
                <c:pt idx="2">
                  <c:v>168</c:v>
                </c:pt>
                <c:pt idx="3">
                  <c:v>77</c:v>
                </c:pt>
                <c:pt idx="4">
                  <c:v>1</c:v>
                </c:pt>
                <c:pt idx="5">
                  <c:v>20</c:v>
                </c:pt>
                <c:pt idx="6">
                  <c:v>16</c:v>
                </c:pt>
                <c:pt idx="7">
                  <c:v>0</c:v>
                </c:pt>
                <c:pt idx="8">
                  <c:v>85</c:v>
                </c:pt>
                <c:pt idx="9">
                  <c:v>0</c:v>
                </c:pt>
                <c:pt idx="10">
                  <c:v>17</c:v>
                </c:pt>
                <c:pt idx="11">
                  <c:v>0</c:v>
                </c:pt>
                <c:pt idx="12">
                  <c:v>0</c:v>
                </c:pt>
              </c:numCache>
            </c:numRef>
          </c:val>
          <c:extLst>
            <c:ext xmlns:c16="http://schemas.microsoft.com/office/drawing/2014/chart" uri="{C3380CC4-5D6E-409C-BE32-E72D297353CC}">
              <c16:uniqueId val="{00000002-F4EA-463E-89F8-854CEDC17CB2}"/>
            </c:ext>
          </c:extLst>
        </c:ser>
        <c:dLbls>
          <c:dLblPos val="outEnd"/>
          <c:showLegendKey val="0"/>
          <c:showVal val="1"/>
          <c:showCatName val="0"/>
          <c:showSerName val="0"/>
          <c:showPercent val="0"/>
          <c:showBubbleSize val="0"/>
        </c:dLbls>
        <c:gapWidth val="100"/>
        <c:overlap val="-24"/>
        <c:axId val="451806712"/>
        <c:axId val="451803576"/>
      </c:barChart>
      <c:catAx>
        <c:axId val="45180671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03576"/>
        <c:crosses val="autoZero"/>
        <c:auto val="1"/>
        <c:lblAlgn val="ctr"/>
        <c:lblOffset val="100"/>
        <c:noMultiLvlLbl val="0"/>
      </c:catAx>
      <c:valAx>
        <c:axId val="45180357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06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2021-10-14</a:t>
            </a:r>
          </a:p>
        </c:rich>
      </c:tx>
      <c:layout>
        <c:manualLayout>
          <c:xMode val="edge"/>
          <c:yMode val="edge"/>
          <c:x val="0.12829946229739789"/>
          <c:y val="3.3036997829726911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'October 14, 2021'!$B$2:$B$3</c:f>
              <c:strCache>
                <c:ptCount val="2"/>
                <c:pt idx="0">
                  <c:v>Total Hospital</c:v>
                </c:pt>
                <c:pt idx="1">
                  <c:v>3255</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14,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14, 2021'!$B$4:$B$16</c:f>
              <c:numCache>
                <c:formatCode>General</c:formatCode>
                <c:ptCount val="13"/>
                <c:pt idx="0">
                  <c:v>527</c:v>
                </c:pt>
                <c:pt idx="1">
                  <c:v>1263</c:v>
                </c:pt>
                <c:pt idx="2" formatCode="0">
                  <c:v>412</c:v>
                </c:pt>
                <c:pt idx="3" formatCode="#,##0">
                  <c:v>374</c:v>
                </c:pt>
                <c:pt idx="4">
                  <c:v>12</c:v>
                </c:pt>
                <c:pt idx="5">
                  <c:v>82</c:v>
                </c:pt>
                <c:pt idx="6">
                  <c:v>110</c:v>
                </c:pt>
                <c:pt idx="7">
                  <c:v>0</c:v>
                </c:pt>
                <c:pt idx="8">
                  <c:v>335</c:v>
                </c:pt>
                <c:pt idx="9">
                  <c:v>11</c:v>
                </c:pt>
                <c:pt idx="10">
                  <c:v>69</c:v>
                </c:pt>
                <c:pt idx="11">
                  <c:v>60</c:v>
                </c:pt>
                <c:pt idx="12">
                  <c:v>0</c:v>
                </c:pt>
              </c:numCache>
            </c:numRef>
          </c:val>
          <c:extLst>
            <c:ext xmlns:c16="http://schemas.microsoft.com/office/drawing/2014/chart" uri="{C3380CC4-5D6E-409C-BE32-E72D297353CC}">
              <c16:uniqueId val="{00000000-F6AE-4228-95B5-5C95EE327F7D}"/>
            </c:ext>
          </c:extLst>
        </c:ser>
        <c:ser>
          <c:idx val="1"/>
          <c:order val="1"/>
          <c:tx>
            <c:strRef>
              <c:f>'October 14, 2021'!$C$2:$C$3</c:f>
              <c:strCache>
                <c:ptCount val="2"/>
                <c:pt idx="0">
                  <c:v>Total ICU</c:v>
                </c:pt>
                <c:pt idx="1">
                  <c:v>752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6AE-4228-95B5-5C95EE327F7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14,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14, 2021'!$C$4:$C$16</c:f>
              <c:numCache>
                <c:formatCode>General</c:formatCode>
                <c:ptCount val="13"/>
                <c:pt idx="0">
                  <c:v>153</c:v>
                </c:pt>
                <c:pt idx="1">
                  <c:v>236</c:v>
                </c:pt>
                <c:pt idx="2">
                  <c:v>158</c:v>
                </c:pt>
                <c:pt idx="3">
                  <c:v>76</c:v>
                </c:pt>
                <c:pt idx="4">
                  <c:v>2</c:v>
                </c:pt>
                <c:pt idx="5">
                  <c:v>19</c:v>
                </c:pt>
                <c:pt idx="6">
                  <c:v>17</c:v>
                </c:pt>
                <c:pt idx="7">
                  <c:v>0</c:v>
                </c:pt>
                <c:pt idx="8">
                  <c:v>75</c:v>
                </c:pt>
                <c:pt idx="9">
                  <c:v>0</c:v>
                </c:pt>
                <c:pt idx="10">
                  <c:v>16</c:v>
                </c:pt>
                <c:pt idx="11">
                  <c:v>0</c:v>
                </c:pt>
                <c:pt idx="12">
                  <c:v>0</c:v>
                </c:pt>
              </c:numCache>
            </c:numRef>
          </c:val>
          <c:extLst>
            <c:ext xmlns:c16="http://schemas.microsoft.com/office/drawing/2014/chart" uri="{C3380CC4-5D6E-409C-BE32-E72D297353CC}">
              <c16:uniqueId val="{00000002-F6AE-4228-95B5-5C95EE327F7D}"/>
            </c:ext>
          </c:extLst>
        </c:ser>
        <c:dLbls>
          <c:dLblPos val="outEnd"/>
          <c:showLegendKey val="0"/>
          <c:showVal val="1"/>
          <c:showCatName val="0"/>
          <c:showSerName val="0"/>
          <c:showPercent val="0"/>
          <c:showBubbleSize val="0"/>
        </c:dLbls>
        <c:gapWidth val="100"/>
        <c:overlap val="-24"/>
        <c:axId val="451807888"/>
        <c:axId val="451808280"/>
      </c:barChart>
      <c:catAx>
        <c:axId val="45180788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08280"/>
        <c:crosses val="autoZero"/>
        <c:auto val="1"/>
        <c:lblAlgn val="ctr"/>
        <c:lblOffset val="100"/>
        <c:noMultiLvlLbl val="0"/>
      </c:catAx>
      <c:valAx>
        <c:axId val="4518082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07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2022-06-30</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'June 30, 2022'!$B$2:$B$3</c:f>
              <c:strCache>
                <c:ptCount val="2"/>
                <c:pt idx="0">
                  <c:v>Total Hospital</c:v>
                </c:pt>
                <c:pt idx="1">
                  <c:v>2907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30,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30, 2022'!$B$4:$B$16</c:f>
              <c:numCache>
                <c:formatCode>General</c:formatCode>
                <c:ptCount val="13"/>
                <c:pt idx="0">
                  <c:v>273</c:v>
                </c:pt>
                <c:pt idx="1">
                  <c:v>589</c:v>
                </c:pt>
                <c:pt idx="2" formatCode="0">
                  <c:v>486</c:v>
                </c:pt>
                <c:pt idx="3" formatCode="#,##0">
                  <c:v>1294</c:v>
                </c:pt>
                <c:pt idx="4">
                  <c:v>24</c:v>
                </c:pt>
                <c:pt idx="5">
                  <c:v>15</c:v>
                </c:pt>
                <c:pt idx="6">
                  <c:v>46</c:v>
                </c:pt>
                <c:pt idx="7">
                  <c:v>9</c:v>
                </c:pt>
                <c:pt idx="8">
                  <c:v>157</c:v>
                </c:pt>
                <c:pt idx="9">
                  <c:v>13</c:v>
                </c:pt>
                <c:pt idx="10">
                  <c:v>0</c:v>
                </c:pt>
                <c:pt idx="11">
                  <c:v>1</c:v>
                </c:pt>
                <c:pt idx="12">
                  <c:v>0</c:v>
                </c:pt>
              </c:numCache>
            </c:numRef>
          </c:val>
          <c:extLst>
            <c:ext xmlns:c16="http://schemas.microsoft.com/office/drawing/2014/chart" uri="{C3380CC4-5D6E-409C-BE32-E72D297353CC}">
              <c16:uniqueId val="{00000000-D985-494A-9BAF-F204B5AADA6C}"/>
            </c:ext>
          </c:extLst>
        </c:ser>
        <c:ser>
          <c:idx val="1"/>
          <c:order val="1"/>
          <c:tx>
            <c:strRef>
              <c:f>'June 30, 2022'!$C$2:$C$3</c:f>
              <c:strCache>
                <c:ptCount val="2"/>
                <c:pt idx="0">
                  <c:v>Total ICU</c:v>
                </c:pt>
                <c:pt idx="1">
                  <c:v>196</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85-494A-9BAF-F204B5AADA6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30,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30, 2022'!$C$4:$C$16</c:f>
              <c:numCache>
                <c:formatCode>General</c:formatCode>
                <c:ptCount val="13"/>
                <c:pt idx="0">
                  <c:v>28</c:v>
                </c:pt>
                <c:pt idx="1">
                  <c:v>13</c:v>
                </c:pt>
                <c:pt idx="2">
                  <c:v>96</c:v>
                </c:pt>
                <c:pt idx="3">
                  <c:v>42</c:v>
                </c:pt>
                <c:pt idx="4">
                  <c:v>4</c:v>
                </c:pt>
                <c:pt idx="5">
                  <c:v>1</c:v>
                </c:pt>
                <c:pt idx="6">
                  <c:v>5</c:v>
                </c:pt>
                <c:pt idx="7">
                  <c:v>0</c:v>
                </c:pt>
                <c:pt idx="8">
                  <c:v>5</c:v>
                </c:pt>
                <c:pt idx="9">
                  <c:v>2</c:v>
                </c:pt>
                <c:pt idx="10">
                  <c:v>0</c:v>
                </c:pt>
                <c:pt idx="11">
                  <c:v>0</c:v>
                </c:pt>
                <c:pt idx="12">
                  <c:v>0</c:v>
                </c:pt>
              </c:numCache>
            </c:numRef>
          </c:val>
          <c:extLst>
            <c:ext xmlns:c16="http://schemas.microsoft.com/office/drawing/2014/chart" uri="{C3380CC4-5D6E-409C-BE32-E72D297353CC}">
              <c16:uniqueId val="{00000002-D985-494A-9BAF-F204B5AADA6C}"/>
            </c:ext>
          </c:extLst>
        </c:ser>
        <c:dLbls>
          <c:dLblPos val="outEnd"/>
          <c:showLegendKey val="0"/>
          <c:showVal val="1"/>
          <c:showCatName val="0"/>
          <c:showSerName val="0"/>
          <c:showPercent val="0"/>
          <c:showBubbleSize val="0"/>
        </c:dLbls>
        <c:gapWidth val="100"/>
        <c:overlap val="-24"/>
        <c:axId val="528188568"/>
        <c:axId val="528192880"/>
      </c:barChart>
      <c:catAx>
        <c:axId val="5281885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92880"/>
        <c:crosses val="autoZero"/>
        <c:auto val="1"/>
        <c:lblAlgn val="ctr"/>
        <c:lblOffset val="100"/>
        <c:noMultiLvlLbl val="0"/>
      </c:catAx>
      <c:valAx>
        <c:axId val="5281928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88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2021-10-12</a:t>
            </a:r>
          </a:p>
        </c:rich>
      </c:tx>
      <c:layout>
        <c:manualLayout>
          <c:xMode val="edge"/>
          <c:yMode val="edge"/>
          <c:x val="0.12829946229739789"/>
          <c:y val="3.3036997829726911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'October 12, 2021'!$B$2:$B$3</c:f>
              <c:strCache>
                <c:ptCount val="2"/>
                <c:pt idx="0">
                  <c:v>Total Hospital</c:v>
                </c:pt>
                <c:pt idx="1">
                  <c:v>3172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12,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12, 2021'!$B$4:$B$16</c:f>
              <c:numCache>
                <c:formatCode>General</c:formatCode>
                <c:ptCount val="13"/>
                <c:pt idx="0">
                  <c:v>497</c:v>
                </c:pt>
                <c:pt idx="1">
                  <c:v>1351</c:v>
                </c:pt>
                <c:pt idx="2" formatCode="0">
                  <c:v>304</c:v>
                </c:pt>
                <c:pt idx="3" formatCode="#,##0">
                  <c:v>363</c:v>
                </c:pt>
                <c:pt idx="4">
                  <c:v>15</c:v>
                </c:pt>
                <c:pt idx="5">
                  <c:v>76</c:v>
                </c:pt>
                <c:pt idx="6">
                  <c:v>100</c:v>
                </c:pt>
                <c:pt idx="7">
                  <c:v>0</c:v>
                </c:pt>
                <c:pt idx="8">
                  <c:v>347</c:v>
                </c:pt>
                <c:pt idx="9">
                  <c:v>12</c:v>
                </c:pt>
                <c:pt idx="10">
                  <c:v>64</c:v>
                </c:pt>
                <c:pt idx="11">
                  <c:v>43</c:v>
                </c:pt>
                <c:pt idx="12">
                  <c:v>0</c:v>
                </c:pt>
              </c:numCache>
            </c:numRef>
          </c:val>
          <c:extLst>
            <c:ext xmlns:c16="http://schemas.microsoft.com/office/drawing/2014/chart" uri="{C3380CC4-5D6E-409C-BE32-E72D297353CC}">
              <c16:uniqueId val="{00000000-E31C-4A2D-99BF-ACD572DC4767}"/>
            </c:ext>
          </c:extLst>
        </c:ser>
        <c:ser>
          <c:idx val="1"/>
          <c:order val="1"/>
          <c:tx>
            <c:strRef>
              <c:f>'October 12, 2021'!$C$2:$C$3</c:f>
              <c:strCache>
                <c:ptCount val="2"/>
                <c:pt idx="0">
                  <c:v>Total ICU</c:v>
                </c:pt>
                <c:pt idx="1">
                  <c:v>740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1C-4A2D-99BF-ACD572DC476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12,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12, 2021'!$C$4:$C$16</c:f>
              <c:numCache>
                <c:formatCode>General</c:formatCode>
                <c:ptCount val="13"/>
                <c:pt idx="0">
                  <c:v>137</c:v>
                </c:pt>
                <c:pt idx="1">
                  <c:v>250</c:v>
                </c:pt>
                <c:pt idx="2">
                  <c:v>149</c:v>
                </c:pt>
                <c:pt idx="3">
                  <c:v>72</c:v>
                </c:pt>
                <c:pt idx="4">
                  <c:v>2</c:v>
                </c:pt>
                <c:pt idx="5">
                  <c:v>20</c:v>
                </c:pt>
                <c:pt idx="6">
                  <c:v>15</c:v>
                </c:pt>
                <c:pt idx="7">
                  <c:v>0</c:v>
                </c:pt>
                <c:pt idx="8">
                  <c:v>79</c:v>
                </c:pt>
                <c:pt idx="9">
                  <c:v>0</c:v>
                </c:pt>
                <c:pt idx="10">
                  <c:v>16</c:v>
                </c:pt>
                <c:pt idx="11">
                  <c:v>0</c:v>
                </c:pt>
                <c:pt idx="12">
                  <c:v>0</c:v>
                </c:pt>
              </c:numCache>
            </c:numRef>
          </c:val>
          <c:extLst>
            <c:ext xmlns:c16="http://schemas.microsoft.com/office/drawing/2014/chart" uri="{C3380CC4-5D6E-409C-BE32-E72D297353CC}">
              <c16:uniqueId val="{00000002-E31C-4A2D-99BF-ACD572DC4767}"/>
            </c:ext>
          </c:extLst>
        </c:ser>
        <c:dLbls>
          <c:dLblPos val="outEnd"/>
          <c:showLegendKey val="0"/>
          <c:showVal val="1"/>
          <c:showCatName val="0"/>
          <c:showSerName val="0"/>
          <c:showPercent val="0"/>
          <c:showBubbleSize val="0"/>
        </c:dLbls>
        <c:gapWidth val="100"/>
        <c:overlap val="-24"/>
        <c:axId val="451810632"/>
        <c:axId val="451811024"/>
      </c:barChart>
      <c:catAx>
        <c:axId val="45181063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11024"/>
        <c:crosses val="autoZero"/>
        <c:auto val="1"/>
        <c:lblAlgn val="ctr"/>
        <c:lblOffset val="100"/>
        <c:noMultiLvlLbl val="0"/>
      </c:catAx>
      <c:valAx>
        <c:axId val="45181102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10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2021-10-08</a:t>
            </a:r>
          </a:p>
        </c:rich>
      </c:tx>
      <c:layout>
        <c:manualLayout>
          <c:xMode val="edge"/>
          <c:yMode val="edge"/>
          <c:x val="0.12829946229739789"/>
          <c:y val="3.3036997829726911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'Octover 8, 2021'!$B$2:$B$3</c:f>
              <c:strCache>
                <c:ptCount val="2"/>
                <c:pt idx="0">
                  <c:v>Total Hospital</c:v>
                </c:pt>
                <c:pt idx="1">
                  <c:v>3332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'Octover 8,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'Octover 8, 2021'!$B$4:$B$16</c:f>
              <c:numCache>
                <c:formatCode>General</c:formatCode>
                <c:ptCount val="13"/>
                <c:pt idx="0">
                  <c:v>505</c:v>
                </c:pt>
                <c:pt idx="1">
                  <c:v>1342</c:v>
                </c:pt>
                <c:pt idx="2" formatCode="0">
                  <c:v>425</c:v>
                </c:pt>
                <c:pt idx="3" formatCode="#,##0">
                  <c:v>388</c:v>
                </c:pt>
                <c:pt idx="4">
                  <c:v>15</c:v>
                </c:pt>
                <c:pt idx="5">
                  <c:v>86</c:v>
                </c:pt>
                <c:pt idx="6">
                  <c:v>100</c:v>
                </c:pt>
                <c:pt idx="7">
                  <c:v>0</c:v>
                </c:pt>
                <c:pt idx="8">
                  <c:v>348</c:v>
                </c:pt>
                <c:pt idx="9">
                  <c:v>14</c:v>
                </c:pt>
                <c:pt idx="10">
                  <c:v>63</c:v>
                </c:pt>
                <c:pt idx="11">
                  <c:v>46</c:v>
                </c:pt>
                <c:pt idx="12">
                  <c:v>0</c:v>
                </c:pt>
              </c:numCache>
            </c:numRef>
          </c:val>
          <c:extLst>
            <c:ext xmlns:c16="http://schemas.microsoft.com/office/drawing/2014/chart" uri="{C3380CC4-5D6E-409C-BE32-E72D297353CC}">
              <c16:uniqueId val="{00000000-AC1A-4E0D-96A2-AA17378B52C8}"/>
            </c:ext>
          </c:extLst>
        </c:ser>
        <c:ser>
          <c:idx val="1"/>
          <c:order val="1"/>
          <c:tx>
            <c:strRef>
              <c:f>'Octover 8, 2021'!$C$2:$C$3</c:f>
              <c:strCache>
                <c:ptCount val="2"/>
                <c:pt idx="0">
                  <c:v>Total ICU</c:v>
                </c:pt>
                <c:pt idx="1">
                  <c:v>764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C1A-4E0D-96A2-AA17378B52C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'Octover 8,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'Octover 8, 2021'!$C$4:$C$16</c:f>
              <c:numCache>
                <c:formatCode>General</c:formatCode>
                <c:ptCount val="13"/>
                <c:pt idx="0">
                  <c:v>132</c:v>
                </c:pt>
                <c:pt idx="1">
                  <c:v>248</c:v>
                </c:pt>
                <c:pt idx="2">
                  <c:v>154</c:v>
                </c:pt>
                <c:pt idx="3">
                  <c:v>86</c:v>
                </c:pt>
                <c:pt idx="4">
                  <c:v>4</c:v>
                </c:pt>
                <c:pt idx="5">
                  <c:v>31</c:v>
                </c:pt>
                <c:pt idx="6">
                  <c:v>15</c:v>
                </c:pt>
                <c:pt idx="7">
                  <c:v>0</c:v>
                </c:pt>
                <c:pt idx="8">
                  <c:v>78</c:v>
                </c:pt>
                <c:pt idx="9">
                  <c:v>0</c:v>
                </c:pt>
                <c:pt idx="10">
                  <c:v>16</c:v>
                </c:pt>
                <c:pt idx="11">
                  <c:v>0</c:v>
                </c:pt>
                <c:pt idx="12">
                  <c:v>0</c:v>
                </c:pt>
              </c:numCache>
            </c:numRef>
          </c:val>
          <c:extLst>
            <c:ext xmlns:c16="http://schemas.microsoft.com/office/drawing/2014/chart" uri="{C3380CC4-5D6E-409C-BE32-E72D297353CC}">
              <c16:uniqueId val="{00000002-AC1A-4E0D-96A2-AA17378B52C8}"/>
            </c:ext>
          </c:extLst>
        </c:ser>
        <c:dLbls>
          <c:dLblPos val="outEnd"/>
          <c:showLegendKey val="0"/>
          <c:showVal val="1"/>
          <c:showCatName val="0"/>
          <c:showSerName val="0"/>
          <c:showPercent val="0"/>
          <c:showBubbleSize val="0"/>
        </c:dLbls>
        <c:gapWidth val="100"/>
        <c:overlap val="-24"/>
        <c:axId val="451818080"/>
        <c:axId val="451816120"/>
      </c:barChart>
      <c:catAx>
        <c:axId val="45181808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16120"/>
        <c:crosses val="autoZero"/>
        <c:auto val="1"/>
        <c:lblAlgn val="ctr"/>
        <c:lblOffset val="100"/>
        <c:noMultiLvlLbl val="0"/>
      </c:catAx>
      <c:valAx>
        <c:axId val="45181612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18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2021-10-06</a:t>
            </a:r>
          </a:p>
        </c:rich>
      </c:tx>
      <c:layout>
        <c:manualLayout>
          <c:xMode val="edge"/>
          <c:yMode val="edge"/>
          <c:x val="0.12829946229739789"/>
          <c:y val="3.3036997829726911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'October 6, 2021'!$B$2:$B$3</c:f>
              <c:strCache>
                <c:ptCount val="2"/>
                <c:pt idx="0">
                  <c:v>Total Hospital</c:v>
                </c:pt>
                <c:pt idx="1">
                  <c:v>3304</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6,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6, 2021'!$B$4:$B$16</c:f>
              <c:numCache>
                <c:formatCode>General</c:formatCode>
                <c:ptCount val="13"/>
                <c:pt idx="0">
                  <c:v>489</c:v>
                </c:pt>
                <c:pt idx="1">
                  <c:v>1346</c:v>
                </c:pt>
                <c:pt idx="2" formatCode="0">
                  <c:v>436</c:v>
                </c:pt>
                <c:pt idx="3" formatCode="#,##0">
                  <c:v>384</c:v>
                </c:pt>
                <c:pt idx="4">
                  <c:v>15</c:v>
                </c:pt>
                <c:pt idx="5">
                  <c:v>73</c:v>
                </c:pt>
                <c:pt idx="6">
                  <c:v>116</c:v>
                </c:pt>
                <c:pt idx="7">
                  <c:v>0</c:v>
                </c:pt>
                <c:pt idx="8">
                  <c:v>340</c:v>
                </c:pt>
                <c:pt idx="9">
                  <c:v>14</c:v>
                </c:pt>
                <c:pt idx="10">
                  <c:v>53</c:v>
                </c:pt>
                <c:pt idx="11">
                  <c:v>38</c:v>
                </c:pt>
                <c:pt idx="12">
                  <c:v>0</c:v>
                </c:pt>
              </c:numCache>
            </c:numRef>
          </c:val>
          <c:extLst>
            <c:ext xmlns:c16="http://schemas.microsoft.com/office/drawing/2014/chart" uri="{C3380CC4-5D6E-409C-BE32-E72D297353CC}">
              <c16:uniqueId val="{00000000-D686-47EC-9F21-032D5EAF2A8E}"/>
            </c:ext>
          </c:extLst>
        </c:ser>
        <c:ser>
          <c:idx val="1"/>
          <c:order val="1"/>
          <c:tx>
            <c:strRef>
              <c:f>'October 6, 2021'!$C$2:$C$3</c:f>
              <c:strCache>
                <c:ptCount val="2"/>
                <c:pt idx="0">
                  <c:v>Total ICU</c:v>
                </c:pt>
                <c:pt idx="1">
                  <c:v>774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86-47EC-9F21-032D5EAF2A8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6,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6, 2021'!$C$4:$C$16</c:f>
              <c:numCache>
                <c:formatCode>General</c:formatCode>
                <c:ptCount val="13"/>
                <c:pt idx="0">
                  <c:v>144</c:v>
                </c:pt>
                <c:pt idx="1">
                  <c:v>252</c:v>
                </c:pt>
                <c:pt idx="2">
                  <c:v>156</c:v>
                </c:pt>
                <c:pt idx="3">
                  <c:v>90</c:v>
                </c:pt>
                <c:pt idx="4">
                  <c:v>5</c:v>
                </c:pt>
                <c:pt idx="5">
                  <c:v>23</c:v>
                </c:pt>
                <c:pt idx="6">
                  <c:v>18</c:v>
                </c:pt>
                <c:pt idx="7">
                  <c:v>0</c:v>
                </c:pt>
                <c:pt idx="8">
                  <c:v>73</c:v>
                </c:pt>
                <c:pt idx="9">
                  <c:v>0</c:v>
                </c:pt>
                <c:pt idx="10">
                  <c:v>13</c:v>
                </c:pt>
                <c:pt idx="11">
                  <c:v>0</c:v>
                </c:pt>
                <c:pt idx="12">
                  <c:v>0</c:v>
                </c:pt>
              </c:numCache>
            </c:numRef>
          </c:val>
          <c:extLst>
            <c:ext xmlns:c16="http://schemas.microsoft.com/office/drawing/2014/chart" uri="{C3380CC4-5D6E-409C-BE32-E72D297353CC}">
              <c16:uniqueId val="{00000002-D686-47EC-9F21-032D5EAF2A8E}"/>
            </c:ext>
          </c:extLst>
        </c:ser>
        <c:dLbls>
          <c:dLblPos val="outEnd"/>
          <c:showLegendKey val="0"/>
          <c:showVal val="1"/>
          <c:showCatName val="0"/>
          <c:showSerName val="0"/>
          <c:showPercent val="0"/>
          <c:showBubbleSize val="0"/>
        </c:dLbls>
        <c:gapWidth val="100"/>
        <c:overlap val="-24"/>
        <c:axId val="451823176"/>
        <c:axId val="451816904"/>
      </c:barChart>
      <c:catAx>
        <c:axId val="45182317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16904"/>
        <c:crosses val="autoZero"/>
        <c:auto val="1"/>
        <c:lblAlgn val="ctr"/>
        <c:lblOffset val="100"/>
        <c:noMultiLvlLbl val="0"/>
      </c:catAx>
      <c:valAx>
        <c:axId val="45181690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23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2021-10-04</a:t>
            </a:r>
          </a:p>
        </c:rich>
      </c:tx>
      <c:layout>
        <c:manualLayout>
          <c:xMode val="edge"/>
          <c:yMode val="edge"/>
          <c:x val="0.12829946229739789"/>
          <c:y val="3.3036997829726911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'October 4, 2021'!$B$2:$B$3</c:f>
              <c:strCache>
                <c:ptCount val="2"/>
                <c:pt idx="0">
                  <c:v>Total Hospital</c:v>
                </c:pt>
                <c:pt idx="1">
                  <c:v>3080</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4,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4, 2021'!$B$4:$B$16</c:f>
              <c:numCache>
                <c:formatCode>General</c:formatCode>
                <c:ptCount val="13"/>
                <c:pt idx="0">
                  <c:v>466</c:v>
                </c:pt>
                <c:pt idx="1">
                  <c:v>1329</c:v>
                </c:pt>
                <c:pt idx="2" formatCode="0">
                  <c:v>305</c:v>
                </c:pt>
                <c:pt idx="3" formatCode="#,##0">
                  <c:v>378</c:v>
                </c:pt>
                <c:pt idx="4">
                  <c:v>14</c:v>
                </c:pt>
                <c:pt idx="5">
                  <c:v>65</c:v>
                </c:pt>
                <c:pt idx="6">
                  <c:v>111</c:v>
                </c:pt>
                <c:pt idx="7">
                  <c:v>0</c:v>
                </c:pt>
                <c:pt idx="8">
                  <c:v>321</c:v>
                </c:pt>
                <c:pt idx="9">
                  <c:v>14</c:v>
                </c:pt>
                <c:pt idx="10">
                  <c:v>50</c:v>
                </c:pt>
                <c:pt idx="11">
                  <c:v>27</c:v>
                </c:pt>
                <c:pt idx="12">
                  <c:v>0</c:v>
                </c:pt>
              </c:numCache>
            </c:numRef>
          </c:val>
          <c:extLst>
            <c:ext xmlns:c16="http://schemas.microsoft.com/office/drawing/2014/chart" uri="{C3380CC4-5D6E-409C-BE32-E72D297353CC}">
              <c16:uniqueId val="{00000000-6FC0-415E-A695-A865234164EE}"/>
            </c:ext>
          </c:extLst>
        </c:ser>
        <c:ser>
          <c:idx val="1"/>
          <c:order val="1"/>
          <c:tx>
            <c:strRef>
              <c:f>'October 4, 2021'!$C$2:$C$3</c:f>
              <c:strCache>
                <c:ptCount val="2"/>
                <c:pt idx="0">
                  <c:v>Total ICU</c:v>
                </c:pt>
                <c:pt idx="1">
                  <c:v>773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C0-415E-A695-A865234164E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4,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4, 2021'!$C$4:$C$16</c:f>
              <c:numCache>
                <c:formatCode>General</c:formatCode>
                <c:ptCount val="13"/>
                <c:pt idx="0">
                  <c:v>138</c:v>
                </c:pt>
                <c:pt idx="1">
                  <c:v>263</c:v>
                </c:pt>
                <c:pt idx="2">
                  <c:v>159</c:v>
                </c:pt>
                <c:pt idx="3">
                  <c:v>88</c:v>
                </c:pt>
                <c:pt idx="4">
                  <c:v>4</c:v>
                </c:pt>
                <c:pt idx="5">
                  <c:v>20</c:v>
                </c:pt>
                <c:pt idx="6">
                  <c:v>19</c:v>
                </c:pt>
                <c:pt idx="7">
                  <c:v>0</c:v>
                </c:pt>
                <c:pt idx="8">
                  <c:v>69</c:v>
                </c:pt>
                <c:pt idx="9">
                  <c:v>0</c:v>
                </c:pt>
                <c:pt idx="10">
                  <c:v>13</c:v>
                </c:pt>
                <c:pt idx="11">
                  <c:v>0</c:v>
                </c:pt>
                <c:pt idx="12">
                  <c:v>0</c:v>
                </c:pt>
              </c:numCache>
            </c:numRef>
          </c:val>
          <c:extLst>
            <c:ext xmlns:c16="http://schemas.microsoft.com/office/drawing/2014/chart" uri="{C3380CC4-5D6E-409C-BE32-E72D297353CC}">
              <c16:uniqueId val="{00000002-6FC0-415E-A695-A865234164EE}"/>
            </c:ext>
          </c:extLst>
        </c:ser>
        <c:dLbls>
          <c:dLblPos val="outEnd"/>
          <c:showLegendKey val="0"/>
          <c:showVal val="1"/>
          <c:showCatName val="0"/>
          <c:showSerName val="0"/>
          <c:showPercent val="0"/>
          <c:showBubbleSize val="0"/>
        </c:dLbls>
        <c:gapWidth val="100"/>
        <c:overlap val="-24"/>
        <c:axId val="451817688"/>
        <c:axId val="451818472"/>
      </c:barChart>
      <c:catAx>
        <c:axId val="45181768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18472"/>
        <c:crosses val="autoZero"/>
        <c:auto val="1"/>
        <c:lblAlgn val="ctr"/>
        <c:lblOffset val="100"/>
        <c:noMultiLvlLbl val="0"/>
      </c:catAx>
      <c:valAx>
        <c:axId val="45181847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176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2021-10-04</a:t>
            </a:r>
          </a:p>
        </c:rich>
      </c:tx>
      <c:layout>
        <c:manualLayout>
          <c:xMode val="edge"/>
          <c:yMode val="edge"/>
          <c:x val="0.12829946229739789"/>
          <c:y val="3.3036997829726911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'October 1, 2021'!$B$2:$B$3</c:f>
              <c:strCache>
                <c:ptCount val="2"/>
                <c:pt idx="0">
                  <c:v>Total Hospital</c:v>
                </c:pt>
                <c:pt idx="1">
                  <c:v>3080</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1,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1, 2021'!$B$4:$B$16</c:f>
              <c:numCache>
                <c:formatCode>General</c:formatCode>
                <c:ptCount val="13"/>
                <c:pt idx="0">
                  <c:v>466</c:v>
                </c:pt>
                <c:pt idx="1">
                  <c:v>1329</c:v>
                </c:pt>
                <c:pt idx="2" formatCode="0">
                  <c:v>305</c:v>
                </c:pt>
                <c:pt idx="3" formatCode="#,##0">
                  <c:v>378</c:v>
                </c:pt>
                <c:pt idx="4">
                  <c:v>14</c:v>
                </c:pt>
                <c:pt idx="5">
                  <c:v>65</c:v>
                </c:pt>
                <c:pt idx="6">
                  <c:v>111</c:v>
                </c:pt>
                <c:pt idx="7">
                  <c:v>0</c:v>
                </c:pt>
                <c:pt idx="8">
                  <c:v>321</c:v>
                </c:pt>
                <c:pt idx="9">
                  <c:v>14</c:v>
                </c:pt>
                <c:pt idx="10">
                  <c:v>50</c:v>
                </c:pt>
                <c:pt idx="11">
                  <c:v>27</c:v>
                </c:pt>
                <c:pt idx="12">
                  <c:v>0</c:v>
                </c:pt>
              </c:numCache>
            </c:numRef>
          </c:val>
          <c:extLst>
            <c:ext xmlns:c16="http://schemas.microsoft.com/office/drawing/2014/chart" uri="{C3380CC4-5D6E-409C-BE32-E72D297353CC}">
              <c16:uniqueId val="{00000000-4083-4D18-A4B9-D6A529CAAD53}"/>
            </c:ext>
          </c:extLst>
        </c:ser>
        <c:ser>
          <c:idx val="1"/>
          <c:order val="1"/>
          <c:tx>
            <c:strRef>
              <c:f>'October 1, 2021'!$C$2:$C$3</c:f>
              <c:strCache>
                <c:ptCount val="2"/>
                <c:pt idx="0">
                  <c:v>Total ICU</c:v>
                </c:pt>
                <c:pt idx="1">
                  <c:v>773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083-4D18-A4B9-D6A529CAAD5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1,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1, 2021'!$C$4:$C$16</c:f>
              <c:numCache>
                <c:formatCode>General</c:formatCode>
                <c:ptCount val="13"/>
                <c:pt idx="0">
                  <c:v>138</c:v>
                </c:pt>
                <c:pt idx="1">
                  <c:v>263</c:v>
                </c:pt>
                <c:pt idx="2">
                  <c:v>159</c:v>
                </c:pt>
                <c:pt idx="3">
                  <c:v>88</c:v>
                </c:pt>
                <c:pt idx="4">
                  <c:v>4</c:v>
                </c:pt>
                <c:pt idx="5">
                  <c:v>20</c:v>
                </c:pt>
                <c:pt idx="6">
                  <c:v>19</c:v>
                </c:pt>
                <c:pt idx="7">
                  <c:v>0</c:v>
                </c:pt>
                <c:pt idx="8">
                  <c:v>69</c:v>
                </c:pt>
                <c:pt idx="9">
                  <c:v>0</c:v>
                </c:pt>
                <c:pt idx="10">
                  <c:v>13</c:v>
                </c:pt>
                <c:pt idx="11">
                  <c:v>0</c:v>
                </c:pt>
                <c:pt idx="12">
                  <c:v>0</c:v>
                </c:pt>
              </c:numCache>
            </c:numRef>
          </c:val>
          <c:extLst>
            <c:ext xmlns:c16="http://schemas.microsoft.com/office/drawing/2014/chart" uri="{C3380CC4-5D6E-409C-BE32-E72D297353CC}">
              <c16:uniqueId val="{00000002-4083-4D18-A4B9-D6A529CAAD53}"/>
            </c:ext>
          </c:extLst>
        </c:ser>
        <c:dLbls>
          <c:dLblPos val="outEnd"/>
          <c:showLegendKey val="0"/>
          <c:showVal val="1"/>
          <c:showCatName val="0"/>
          <c:showSerName val="0"/>
          <c:showPercent val="0"/>
          <c:showBubbleSize val="0"/>
        </c:dLbls>
        <c:gapWidth val="100"/>
        <c:overlap val="-24"/>
        <c:axId val="451812984"/>
        <c:axId val="451818864"/>
      </c:barChart>
      <c:catAx>
        <c:axId val="45181298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18864"/>
        <c:crosses val="autoZero"/>
        <c:auto val="1"/>
        <c:lblAlgn val="ctr"/>
        <c:lblOffset val="100"/>
        <c:noMultiLvlLbl val="0"/>
      </c:catAx>
      <c:valAx>
        <c:axId val="45181886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12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2021-09-29</a:t>
            </a:r>
          </a:p>
        </c:rich>
      </c:tx>
      <c:layout>
        <c:manualLayout>
          <c:xMode val="edge"/>
          <c:yMode val="edge"/>
          <c:x val="0.12829946229739789"/>
          <c:y val="3.3036997829726911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'September 29, 2021'!$B$2:$B$3</c:f>
              <c:strCache>
                <c:ptCount val="2"/>
                <c:pt idx="0">
                  <c:v>Total Hospital</c:v>
                </c:pt>
                <c:pt idx="1">
                  <c:v>3244</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29,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29, 2021'!$B$4:$B$16</c:f>
              <c:numCache>
                <c:formatCode>General</c:formatCode>
                <c:ptCount val="13"/>
                <c:pt idx="0">
                  <c:v>457</c:v>
                </c:pt>
                <c:pt idx="1">
                  <c:v>1363</c:v>
                </c:pt>
                <c:pt idx="2" formatCode="0">
                  <c:v>464</c:v>
                </c:pt>
                <c:pt idx="3" formatCode="#,##0">
                  <c:v>397</c:v>
                </c:pt>
                <c:pt idx="4">
                  <c:v>13</c:v>
                </c:pt>
                <c:pt idx="5">
                  <c:v>56</c:v>
                </c:pt>
                <c:pt idx="6">
                  <c:v>96</c:v>
                </c:pt>
                <c:pt idx="7">
                  <c:v>0</c:v>
                </c:pt>
                <c:pt idx="8">
                  <c:v>311</c:v>
                </c:pt>
                <c:pt idx="9">
                  <c:v>4</c:v>
                </c:pt>
                <c:pt idx="10">
                  <c:v>45</c:v>
                </c:pt>
                <c:pt idx="11">
                  <c:v>38</c:v>
                </c:pt>
                <c:pt idx="12">
                  <c:v>0</c:v>
                </c:pt>
              </c:numCache>
            </c:numRef>
          </c:val>
          <c:extLst>
            <c:ext xmlns:c16="http://schemas.microsoft.com/office/drawing/2014/chart" uri="{C3380CC4-5D6E-409C-BE32-E72D297353CC}">
              <c16:uniqueId val="{00000000-9CAF-41DF-9704-F830BDC40219}"/>
            </c:ext>
          </c:extLst>
        </c:ser>
        <c:ser>
          <c:idx val="1"/>
          <c:order val="1"/>
          <c:tx>
            <c:strRef>
              <c:f>'September 29, 2021'!$C$2:$C$3</c:f>
              <c:strCache>
                <c:ptCount val="2"/>
                <c:pt idx="0">
                  <c:v>Total ICU</c:v>
                </c:pt>
                <c:pt idx="1">
                  <c:v>780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CAF-41DF-9704-F830BDC4021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29,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29, 2021'!$C$4:$C$16</c:f>
              <c:numCache>
                <c:formatCode>General</c:formatCode>
                <c:ptCount val="13"/>
                <c:pt idx="0">
                  <c:v>141</c:v>
                </c:pt>
                <c:pt idx="1">
                  <c:v>263</c:v>
                </c:pt>
                <c:pt idx="2">
                  <c:v>172</c:v>
                </c:pt>
                <c:pt idx="3">
                  <c:v>91</c:v>
                </c:pt>
                <c:pt idx="4">
                  <c:v>1</c:v>
                </c:pt>
                <c:pt idx="5">
                  <c:v>16</c:v>
                </c:pt>
                <c:pt idx="6">
                  <c:v>19</c:v>
                </c:pt>
                <c:pt idx="7">
                  <c:v>0</c:v>
                </c:pt>
                <c:pt idx="8">
                  <c:v>65</c:v>
                </c:pt>
                <c:pt idx="9">
                  <c:v>0</c:v>
                </c:pt>
                <c:pt idx="10">
                  <c:v>12</c:v>
                </c:pt>
                <c:pt idx="11">
                  <c:v>0</c:v>
                </c:pt>
                <c:pt idx="12">
                  <c:v>0</c:v>
                </c:pt>
              </c:numCache>
            </c:numRef>
          </c:val>
          <c:extLst>
            <c:ext xmlns:c16="http://schemas.microsoft.com/office/drawing/2014/chart" uri="{C3380CC4-5D6E-409C-BE32-E72D297353CC}">
              <c16:uniqueId val="{00000002-9CAF-41DF-9704-F830BDC40219}"/>
            </c:ext>
          </c:extLst>
        </c:ser>
        <c:dLbls>
          <c:dLblPos val="outEnd"/>
          <c:showLegendKey val="0"/>
          <c:showVal val="1"/>
          <c:showCatName val="0"/>
          <c:showSerName val="0"/>
          <c:showPercent val="0"/>
          <c:showBubbleSize val="0"/>
        </c:dLbls>
        <c:gapWidth val="100"/>
        <c:overlap val="-24"/>
        <c:axId val="451821216"/>
        <c:axId val="451823568"/>
      </c:barChart>
      <c:catAx>
        <c:axId val="45182121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23568"/>
        <c:crosses val="autoZero"/>
        <c:auto val="1"/>
        <c:lblAlgn val="ctr"/>
        <c:lblOffset val="100"/>
        <c:noMultiLvlLbl val="0"/>
      </c:catAx>
      <c:valAx>
        <c:axId val="45182356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212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2021-09-27</a:t>
            </a:r>
          </a:p>
        </c:rich>
      </c:tx>
      <c:layout>
        <c:manualLayout>
          <c:xMode val="edge"/>
          <c:yMode val="edge"/>
          <c:x val="0.12829946229739789"/>
          <c:y val="3.3036997829726911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'September 27, 2021'!$B$2:$B$3</c:f>
              <c:strCache>
                <c:ptCount val="2"/>
                <c:pt idx="0">
                  <c:v>Total Hospital</c:v>
                </c:pt>
                <c:pt idx="1">
                  <c:v>3047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27,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27, 2021'!$B$4:$B$16</c:f>
              <c:numCache>
                <c:formatCode>General</c:formatCode>
                <c:ptCount val="13"/>
                <c:pt idx="0">
                  <c:v>468</c:v>
                </c:pt>
                <c:pt idx="1">
                  <c:v>1304</c:v>
                </c:pt>
                <c:pt idx="2" formatCode="0">
                  <c:v>370</c:v>
                </c:pt>
                <c:pt idx="3" formatCode="#,##0">
                  <c:v>394</c:v>
                </c:pt>
                <c:pt idx="4">
                  <c:v>13</c:v>
                </c:pt>
                <c:pt idx="5">
                  <c:v>48</c:v>
                </c:pt>
                <c:pt idx="6">
                  <c:v>82</c:v>
                </c:pt>
                <c:pt idx="7">
                  <c:v>0</c:v>
                </c:pt>
                <c:pt idx="8">
                  <c:v>281</c:v>
                </c:pt>
                <c:pt idx="9">
                  <c:v>3</c:v>
                </c:pt>
                <c:pt idx="10">
                  <c:v>42</c:v>
                </c:pt>
                <c:pt idx="11">
                  <c:v>42</c:v>
                </c:pt>
                <c:pt idx="12">
                  <c:v>0</c:v>
                </c:pt>
              </c:numCache>
            </c:numRef>
          </c:val>
          <c:extLst>
            <c:ext xmlns:c16="http://schemas.microsoft.com/office/drawing/2014/chart" uri="{C3380CC4-5D6E-409C-BE32-E72D297353CC}">
              <c16:uniqueId val="{00000000-8545-4074-9214-F673DE16CCDA}"/>
            </c:ext>
          </c:extLst>
        </c:ser>
        <c:ser>
          <c:idx val="1"/>
          <c:order val="1"/>
          <c:tx>
            <c:strRef>
              <c:f>'September 27, 2021'!$C$2:$C$3</c:f>
              <c:strCache>
                <c:ptCount val="2"/>
                <c:pt idx="0">
                  <c:v>Total ICU</c:v>
                </c:pt>
                <c:pt idx="1">
                  <c:v>776</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545-4074-9214-F673DE16CCD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27,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27, 2021'!$C$4:$C$16</c:f>
              <c:numCache>
                <c:formatCode>General</c:formatCode>
                <c:ptCount val="13"/>
                <c:pt idx="0">
                  <c:v>149</c:v>
                </c:pt>
                <c:pt idx="1">
                  <c:v>243</c:v>
                </c:pt>
                <c:pt idx="2">
                  <c:v>184</c:v>
                </c:pt>
                <c:pt idx="3">
                  <c:v>95</c:v>
                </c:pt>
                <c:pt idx="4">
                  <c:v>1</c:v>
                </c:pt>
                <c:pt idx="5">
                  <c:v>15</c:v>
                </c:pt>
                <c:pt idx="6">
                  <c:v>14</c:v>
                </c:pt>
                <c:pt idx="7">
                  <c:v>0</c:v>
                </c:pt>
                <c:pt idx="8">
                  <c:v>63</c:v>
                </c:pt>
                <c:pt idx="9">
                  <c:v>0</c:v>
                </c:pt>
                <c:pt idx="10">
                  <c:v>12</c:v>
                </c:pt>
                <c:pt idx="11">
                  <c:v>0</c:v>
                </c:pt>
                <c:pt idx="12">
                  <c:v>0</c:v>
                </c:pt>
              </c:numCache>
            </c:numRef>
          </c:val>
          <c:extLst>
            <c:ext xmlns:c16="http://schemas.microsoft.com/office/drawing/2014/chart" uri="{C3380CC4-5D6E-409C-BE32-E72D297353CC}">
              <c16:uniqueId val="{00000002-8545-4074-9214-F673DE16CCDA}"/>
            </c:ext>
          </c:extLst>
        </c:ser>
        <c:dLbls>
          <c:dLblPos val="outEnd"/>
          <c:showLegendKey val="0"/>
          <c:showVal val="1"/>
          <c:showCatName val="0"/>
          <c:showSerName val="0"/>
          <c:showPercent val="0"/>
          <c:showBubbleSize val="0"/>
        </c:dLbls>
        <c:gapWidth val="100"/>
        <c:overlap val="-24"/>
        <c:axId val="451819648"/>
        <c:axId val="451820040"/>
      </c:barChart>
      <c:catAx>
        <c:axId val="45181964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20040"/>
        <c:crosses val="autoZero"/>
        <c:auto val="1"/>
        <c:lblAlgn val="ctr"/>
        <c:lblOffset val="100"/>
        <c:noMultiLvlLbl val="0"/>
      </c:catAx>
      <c:valAx>
        <c:axId val="45182004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19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2021-09-24</a:t>
            </a:r>
          </a:p>
        </c:rich>
      </c:tx>
      <c:layout>
        <c:manualLayout>
          <c:xMode val="edge"/>
          <c:yMode val="edge"/>
          <c:x val="0.12829946229739789"/>
          <c:y val="3.3036997829726911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'September 24, 2021'!$B$2:$B$3</c:f>
              <c:strCache>
                <c:ptCount val="2"/>
                <c:pt idx="0">
                  <c:v>Total Hospital</c:v>
                </c:pt>
                <c:pt idx="1">
                  <c:v>3143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24,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24, 2021'!$B$4:$B$16</c:f>
              <c:numCache>
                <c:formatCode>General</c:formatCode>
                <c:ptCount val="13"/>
                <c:pt idx="0">
                  <c:v>478</c:v>
                </c:pt>
                <c:pt idx="1">
                  <c:v>1284</c:v>
                </c:pt>
                <c:pt idx="2" formatCode="0">
                  <c:v>501</c:v>
                </c:pt>
                <c:pt idx="3" formatCode="#,##0">
                  <c:v>389</c:v>
                </c:pt>
                <c:pt idx="4">
                  <c:v>13</c:v>
                </c:pt>
                <c:pt idx="5">
                  <c:v>39</c:v>
                </c:pt>
                <c:pt idx="6">
                  <c:v>82</c:v>
                </c:pt>
                <c:pt idx="7">
                  <c:v>0</c:v>
                </c:pt>
                <c:pt idx="8">
                  <c:v>273</c:v>
                </c:pt>
                <c:pt idx="9">
                  <c:v>2</c:v>
                </c:pt>
                <c:pt idx="10">
                  <c:v>42</c:v>
                </c:pt>
                <c:pt idx="11">
                  <c:v>40</c:v>
                </c:pt>
                <c:pt idx="12">
                  <c:v>0</c:v>
                </c:pt>
              </c:numCache>
            </c:numRef>
          </c:val>
          <c:extLst>
            <c:ext xmlns:c16="http://schemas.microsoft.com/office/drawing/2014/chart" uri="{C3380CC4-5D6E-409C-BE32-E72D297353CC}">
              <c16:uniqueId val="{00000000-7485-4E1D-B1E8-FF906D64204D}"/>
            </c:ext>
          </c:extLst>
        </c:ser>
        <c:ser>
          <c:idx val="1"/>
          <c:order val="1"/>
          <c:tx>
            <c:strRef>
              <c:f>'September 24, 2021'!$C$2:$C$3</c:f>
              <c:strCache>
                <c:ptCount val="2"/>
                <c:pt idx="0">
                  <c:v>Total ICU</c:v>
                </c:pt>
                <c:pt idx="1">
                  <c:v>755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85-4E1D-B1E8-FF906D64204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24,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24, 2021'!$C$4:$C$16</c:f>
              <c:numCache>
                <c:formatCode>General</c:formatCode>
                <c:ptCount val="13"/>
                <c:pt idx="0">
                  <c:v>148</c:v>
                </c:pt>
                <c:pt idx="1">
                  <c:v>226</c:v>
                </c:pt>
                <c:pt idx="2">
                  <c:v>193</c:v>
                </c:pt>
                <c:pt idx="3">
                  <c:v>91</c:v>
                </c:pt>
                <c:pt idx="4">
                  <c:v>1</c:v>
                </c:pt>
                <c:pt idx="5">
                  <c:v>12</c:v>
                </c:pt>
                <c:pt idx="6">
                  <c:v>14</c:v>
                </c:pt>
                <c:pt idx="7">
                  <c:v>0</c:v>
                </c:pt>
                <c:pt idx="8">
                  <c:v>58</c:v>
                </c:pt>
                <c:pt idx="9">
                  <c:v>0</c:v>
                </c:pt>
                <c:pt idx="10">
                  <c:v>12</c:v>
                </c:pt>
                <c:pt idx="11">
                  <c:v>0</c:v>
                </c:pt>
                <c:pt idx="12">
                  <c:v>0</c:v>
                </c:pt>
              </c:numCache>
            </c:numRef>
          </c:val>
          <c:extLst>
            <c:ext xmlns:c16="http://schemas.microsoft.com/office/drawing/2014/chart" uri="{C3380CC4-5D6E-409C-BE32-E72D297353CC}">
              <c16:uniqueId val="{00000002-7485-4E1D-B1E8-FF906D64204D}"/>
            </c:ext>
          </c:extLst>
        </c:ser>
        <c:dLbls>
          <c:dLblPos val="outEnd"/>
          <c:showLegendKey val="0"/>
          <c:showVal val="1"/>
          <c:showCatName val="0"/>
          <c:showSerName val="0"/>
          <c:showPercent val="0"/>
          <c:showBubbleSize val="0"/>
        </c:dLbls>
        <c:gapWidth val="100"/>
        <c:overlap val="-24"/>
        <c:axId val="451820432"/>
        <c:axId val="451813376"/>
      </c:barChart>
      <c:catAx>
        <c:axId val="45182043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13376"/>
        <c:crosses val="autoZero"/>
        <c:auto val="1"/>
        <c:lblAlgn val="ctr"/>
        <c:lblOffset val="100"/>
        <c:noMultiLvlLbl val="0"/>
      </c:catAx>
      <c:valAx>
        <c:axId val="45181337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20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2021-09-22</a:t>
            </a:r>
          </a:p>
        </c:rich>
      </c:tx>
      <c:layout>
        <c:manualLayout>
          <c:xMode val="edge"/>
          <c:yMode val="edge"/>
          <c:x val="0.12829946229739789"/>
          <c:y val="3.3036997829726911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'September 22, 2021'!$B$2:$B$3</c:f>
              <c:strCache>
                <c:ptCount val="2"/>
                <c:pt idx="0">
                  <c:v>Total Hospital</c:v>
                </c:pt>
                <c:pt idx="1">
                  <c:v>3067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22,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22, 2021'!$B$4:$B$16</c:f>
              <c:numCache>
                <c:formatCode>General</c:formatCode>
                <c:ptCount val="13"/>
                <c:pt idx="0">
                  <c:v>481</c:v>
                </c:pt>
                <c:pt idx="1">
                  <c:v>1270</c:v>
                </c:pt>
                <c:pt idx="2" formatCode="0">
                  <c:v>486</c:v>
                </c:pt>
                <c:pt idx="3" formatCode="#,##0">
                  <c:v>371</c:v>
                </c:pt>
                <c:pt idx="4">
                  <c:v>10</c:v>
                </c:pt>
                <c:pt idx="5">
                  <c:v>26</c:v>
                </c:pt>
                <c:pt idx="6">
                  <c:v>80</c:v>
                </c:pt>
                <c:pt idx="7">
                  <c:v>0</c:v>
                </c:pt>
                <c:pt idx="8">
                  <c:v>265</c:v>
                </c:pt>
                <c:pt idx="9">
                  <c:v>1</c:v>
                </c:pt>
                <c:pt idx="10">
                  <c:v>38</c:v>
                </c:pt>
                <c:pt idx="11">
                  <c:v>39</c:v>
                </c:pt>
                <c:pt idx="12">
                  <c:v>0</c:v>
                </c:pt>
              </c:numCache>
            </c:numRef>
          </c:val>
          <c:extLst>
            <c:ext xmlns:c16="http://schemas.microsoft.com/office/drawing/2014/chart" uri="{C3380CC4-5D6E-409C-BE32-E72D297353CC}">
              <c16:uniqueId val="{00000000-5C76-4D48-A7A1-5A29215C4A9B}"/>
            </c:ext>
          </c:extLst>
        </c:ser>
        <c:ser>
          <c:idx val="1"/>
          <c:order val="1"/>
          <c:tx>
            <c:strRef>
              <c:f>'September 22, 2021'!$C$2:$C$3</c:f>
              <c:strCache>
                <c:ptCount val="2"/>
                <c:pt idx="0">
                  <c:v>Total ICU</c:v>
                </c:pt>
                <c:pt idx="1">
                  <c:v>759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C76-4D48-A7A1-5A29215C4A9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22,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22, 2021'!$C$4:$C$16</c:f>
              <c:numCache>
                <c:formatCode>General</c:formatCode>
                <c:ptCount val="13"/>
                <c:pt idx="0">
                  <c:v>157</c:v>
                </c:pt>
                <c:pt idx="1">
                  <c:v>230</c:v>
                </c:pt>
                <c:pt idx="2">
                  <c:v>187</c:v>
                </c:pt>
                <c:pt idx="3">
                  <c:v>91</c:v>
                </c:pt>
                <c:pt idx="4">
                  <c:v>0</c:v>
                </c:pt>
                <c:pt idx="5">
                  <c:v>15</c:v>
                </c:pt>
                <c:pt idx="6">
                  <c:v>14</c:v>
                </c:pt>
                <c:pt idx="7">
                  <c:v>0</c:v>
                </c:pt>
                <c:pt idx="8">
                  <c:v>54</c:v>
                </c:pt>
                <c:pt idx="9">
                  <c:v>0</c:v>
                </c:pt>
                <c:pt idx="10">
                  <c:v>11</c:v>
                </c:pt>
                <c:pt idx="11">
                  <c:v>0</c:v>
                </c:pt>
                <c:pt idx="12">
                  <c:v>0</c:v>
                </c:pt>
              </c:numCache>
            </c:numRef>
          </c:val>
          <c:extLst>
            <c:ext xmlns:c16="http://schemas.microsoft.com/office/drawing/2014/chart" uri="{C3380CC4-5D6E-409C-BE32-E72D297353CC}">
              <c16:uniqueId val="{00000002-5C76-4D48-A7A1-5A29215C4A9B}"/>
            </c:ext>
          </c:extLst>
        </c:ser>
        <c:dLbls>
          <c:dLblPos val="outEnd"/>
          <c:showLegendKey val="0"/>
          <c:showVal val="1"/>
          <c:showCatName val="0"/>
          <c:showSerName val="0"/>
          <c:showPercent val="0"/>
          <c:showBubbleSize val="0"/>
        </c:dLbls>
        <c:gapWidth val="100"/>
        <c:overlap val="-24"/>
        <c:axId val="451814944"/>
        <c:axId val="451814160"/>
      </c:barChart>
      <c:catAx>
        <c:axId val="45181494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14160"/>
        <c:crosses val="autoZero"/>
        <c:auto val="1"/>
        <c:lblAlgn val="ctr"/>
        <c:lblOffset val="100"/>
        <c:noMultiLvlLbl val="0"/>
      </c:catAx>
      <c:valAx>
        <c:axId val="45181416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14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2021-09-20</a:t>
            </a:r>
          </a:p>
        </c:rich>
      </c:tx>
      <c:layout>
        <c:manualLayout>
          <c:xMode val="edge"/>
          <c:yMode val="edge"/>
          <c:x val="0.12829946229739789"/>
          <c:y val="3.3036997829726911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'September 20, 2021'!$B$2:$B$3</c:f>
              <c:strCache>
                <c:ptCount val="2"/>
                <c:pt idx="0">
                  <c:v>Total Hospital</c:v>
                </c:pt>
                <c:pt idx="1">
                  <c:v>2765</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20,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20, 2021'!$B$4:$B$16</c:f>
              <c:numCache>
                <c:formatCode>General</c:formatCode>
                <c:ptCount val="13"/>
                <c:pt idx="0">
                  <c:v>434</c:v>
                </c:pt>
                <c:pt idx="1">
                  <c:v>1126</c:v>
                </c:pt>
                <c:pt idx="2" formatCode="0">
                  <c:v>410</c:v>
                </c:pt>
                <c:pt idx="3" formatCode="#,##0">
                  <c:v>372</c:v>
                </c:pt>
                <c:pt idx="4">
                  <c:v>8</c:v>
                </c:pt>
                <c:pt idx="5">
                  <c:v>27</c:v>
                </c:pt>
                <c:pt idx="6">
                  <c:v>80</c:v>
                </c:pt>
                <c:pt idx="7">
                  <c:v>0</c:v>
                </c:pt>
                <c:pt idx="8">
                  <c:v>249</c:v>
                </c:pt>
                <c:pt idx="9">
                  <c:v>1</c:v>
                </c:pt>
                <c:pt idx="10">
                  <c:v>33</c:v>
                </c:pt>
                <c:pt idx="11">
                  <c:v>25</c:v>
                </c:pt>
                <c:pt idx="12">
                  <c:v>0</c:v>
                </c:pt>
              </c:numCache>
            </c:numRef>
          </c:val>
          <c:extLst>
            <c:ext xmlns:c16="http://schemas.microsoft.com/office/drawing/2014/chart" uri="{C3380CC4-5D6E-409C-BE32-E72D297353CC}">
              <c16:uniqueId val="{00000000-5D66-4024-A000-6DEA37E4B0C8}"/>
            </c:ext>
          </c:extLst>
        </c:ser>
        <c:ser>
          <c:idx val="1"/>
          <c:order val="1"/>
          <c:tx>
            <c:strRef>
              <c:f>'September 20, 2021'!$C$2:$C$3</c:f>
              <c:strCache>
                <c:ptCount val="2"/>
                <c:pt idx="0">
                  <c:v>Total ICU</c:v>
                </c:pt>
                <c:pt idx="1">
                  <c:v>706</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D66-4024-A000-6DEA37E4B0C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20,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20, 2021'!$C$4:$C$16</c:f>
              <c:numCache>
                <c:formatCode>General</c:formatCode>
                <c:ptCount val="13"/>
                <c:pt idx="0">
                  <c:v>136</c:v>
                </c:pt>
                <c:pt idx="1">
                  <c:v>215</c:v>
                </c:pt>
                <c:pt idx="2">
                  <c:v>177</c:v>
                </c:pt>
                <c:pt idx="3">
                  <c:v>92</c:v>
                </c:pt>
                <c:pt idx="4">
                  <c:v>0</c:v>
                </c:pt>
                <c:pt idx="5">
                  <c:v>10</c:v>
                </c:pt>
                <c:pt idx="6">
                  <c:v>14</c:v>
                </c:pt>
                <c:pt idx="7">
                  <c:v>0</c:v>
                </c:pt>
                <c:pt idx="8">
                  <c:v>55</c:v>
                </c:pt>
                <c:pt idx="9">
                  <c:v>0</c:v>
                </c:pt>
                <c:pt idx="10">
                  <c:v>7</c:v>
                </c:pt>
                <c:pt idx="11">
                  <c:v>0</c:v>
                </c:pt>
                <c:pt idx="12">
                  <c:v>0</c:v>
                </c:pt>
              </c:numCache>
            </c:numRef>
          </c:val>
          <c:extLst>
            <c:ext xmlns:c16="http://schemas.microsoft.com/office/drawing/2014/chart" uri="{C3380CC4-5D6E-409C-BE32-E72D297353CC}">
              <c16:uniqueId val="{00000002-5D66-4024-A000-6DEA37E4B0C8}"/>
            </c:ext>
          </c:extLst>
        </c:ser>
        <c:dLbls>
          <c:dLblPos val="outEnd"/>
          <c:showLegendKey val="0"/>
          <c:showVal val="1"/>
          <c:showCatName val="0"/>
          <c:showSerName val="0"/>
          <c:showPercent val="0"/>
          <c:showBubbleSize val="0"/>
        </c:dLbls>
        <c:gapWidth val="100"/>
        <c:overlap val="-24"/>
        <c:axId val="451814552"/>
        <c:axId val="451815336"/>
      </c:barChart>
      <c:catAx>
        <c:axId val="45181455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15336"/>
        <c:crosses val="autoZero"/>
        <c:auto val="1"/>
        <c:lblAlgn val="ctr"/>
        <c:lblOffset val="100"/>
        <c:noMultiLvlLbl val="0"/>
      </c:catAx>
      <c:valAx>
        <c:axId val="45181533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14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2022-06-24</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'June 24, 2022'!$B$2:$B$3</c:f>
              <c:strCache>
                <c:ptCount val="2"/>
                <c:pt idx="0">
                  <c:v>Total Hospital</c:v>
                </c:pt>
                <c:pt idx="1">
                  <c:v>2783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24,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24, 2022'!$B$4:$B$16</c:f>
              <c:numCache>
                <c:formatCode>General</c:formatCode>
                <c:ptCount val="13"/>
                <c:pt idx="0">
                  <c:v>273</c:v>
                </c:pt>
                <c:pt idx="1">
                  <c:v>661</c:v>
                </c:pt>
                <c:pt idx="2" formatCode="0">
                  <c:v>486</c:v>
                </c:pt>
                <c:pt idx="3" formatCode="#,##0">
                  <c:v>1080</c:v>
                </c:pt>
                <c:pt idx="4">
                  <c:v>23</c:v>
                </c:pt>
                <c:pt idx="5">
                  <c:v>25</c:v>
                </c:pt>
                <c:pt idx="6">
                  <c:v>58</c:v>
                </c:pt>
                <c:pt idx="7">
                  <c:v>9</c:v>
                </c:pt>
                <c:pt idx="8">
                  <c:v>157</c:v>
                </c:pt>
                <c:pt idx="9">
                  <c:v>11</c:v>
                </c:pt>
                <c:pt idx="10">
                  <c:v>0</c:v>
                </c:pt>
                <c:pt idx="11">
                  <c:v>0</c:v>
                </c:pt>
                <c:pt idx="12">
                  <c:v>0</c:v>
                </c:pt>
              </c:numCache>
            </c:numRef>
          </c:val>
          <c:extLst>
            <c:ext xmlns:c16="http://schemas.microsoft.com/office/drawing/2014/chart" uri="{C3380CC4-5D6E-409C-BE32-E72D297353CC}">
              <c16:uniqueId val="{00000000-3F37-40E4-A28E-FA8B842D42C3}"/>
            </c:ext>
          </c:extLst>
        </c:ser>
        <c:ser>
          <c:idx val="1"/>
          <c:order val="1"/>
          <c:tx>
            <c:strRef>
              <c:f>'June 24, 2022'!$C$2:$C$3</c:f>
              <c:strCache>
                <c:ptCount val="2"/>
                <c:pt idx="0">
                  <c:v>Total ICU</c:v>
                </c:pt>
                <c:pt idx="1">
                  <c:v>195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F37-40E4-A28E-FA8B842D42C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24,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24, 2022'!$C$4:$C$16</c:f>
              <c:numCache>
                <c:formatCode>General</c:formatCode>
                <c:ptCount val="13"/>
                <c:pt idx="0">
                  <c:v>28</c:v>
                </c:pt>
                <c:pt idx="1">
                  <c:v>17</c:v>
                </c:pt>
                <c:pt idx="2">
                  <c:v>96</c:v>
                </c:pt>
                <c:pt idx="3">
                  <c:v>30</c:v>
                </c:pt>
                <c:pt idx="4">
                  <c:v>5</c:v>
                </c:pt>
                <c:pt idx="5">
                  <c:v>3</c:v>
                </c:pt>
                <c:pt idx="6">
                  <c:v>8</c:v>
                </c:pt>
                <c:pt idx="7">
                  <c:v>0</c:v>
                </c:pt>
                <c:pt idx="8">
                  <c:v>5</c:v>
                </c:pt>
                <c:pt idx="9">
                  <c:v>3</c:v>
                </c:pt>
                <c:pt idx="10">
                  <c:v>0</c:v>
                </c:pt>
                <c:pt idx="11">
                  <c:v>0</c:v>
                </c:pt>
                <c:pt idx="12">
                  <c:v>0</c:v>
                </c:pt>
              </c:numCache>
            </c:numRef>
          </c:val>
          <c:extLst>
            <c:ext xmlns:c16="http://schemas.microsoft.com/office/drawing/2014/chart" uri="{C3380CC4-5D6E-409C-BE32-E72D297353CC}">
              <c16:uniqueId val="{00000002-3F37-40E4-A28E-FA8B842D42C3}"/>
            </c:ext>
          </c:extLst>
        </c:ser>
        <c:dLbls>
          <c:dLblPos val="outEnd"/>
          <c:showLegendKey val="0"/>
          <c:showVal val="1"/>
          <c:showCatName val="0"/>
          <c:showSerName val="0"/>
          <c:showPercent val="0"/>
          <c:showBubbleSize val="0"/>
        </c:dLbls>
        <c:gapWidth val="100"/>
        <c:overlap val="-24"/>
        <c:axId val="528188568"/>
        <c:axId val="528192880"/>
      </c:barChart>
      <c:catAx>
        <c:axId val="5281885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92880"/>
        <c:crosses val="autoZero"/>
        <c:auto val="1"/>
        <c:lblAlgn val="ctr"/>
        <c:lblOffset val="100"/>
        <c:noMultiLvlLbl val="0"/>
      </c:catAx>
      <c:valAx>
        <c:axId val="5281928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88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2021-09-17</a:t>
            </a:r>
          </a:p>
        </c:rich>
      </c:tx>
      <c:layout>
        <c:manualLayout>
          <c:xMode val="edge"/>
          <c:yMode val="edge"/>
          <c:x val="0.12829946229739789"/>
          <c:y val="3.3036997829726911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'September 17, 2021'!$B$2:$B$3</c:f>
              <c:strCache>
                <c:ptCount val="2"/>
                <c:pt idx="0">
                  <c:v>Total Hospital</c:v>
                </c:pt>
                <c:pt idx="1">
                  <c:v>2806</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17,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17, 2021'!$B$4:$B$16</c:f>
              <c:numCache>
                <c:formatCode>General</c:formatCode>
                <c:ptCount val="13"/>
                <c:pt idx="0">
                  <c:v>425</c:v>
                </c:pt>
                <c:pt idx="1">
                  <c:v>1118</c:v>
                </c:pt>
                <c:pt idx="2" formatCode="0">
                  <c:v>530</c:v>
                </c:pt>
                <c:pt idx="3" formatCode="#,##0">
                  <c:v>357</c:v>
                </c:pt>
                <c:pt idx="4">
                  <c:v>6</c:v>
                </c:pt>
                <c:pt idx="5">
                  <c:v>24</c:v>
                </c:pt>
                <c:pt idx="6">
                  <c:v>74</c:v>
                </c:pt>
                <c:pt idx="7">
                  <c:v>0</c:v>
                </c:pt>
                <c:pt idx="8">
                  <c:v>218</c:v>
                </c:pt>
                <c:pt idx="9">
                  <c:v>0</c:v>
                </c:pt>
                <c:pt idx="10">
                  <c:v>32</c:v>
                </c:pt>
                <c:pt idx="11">
                  <c:v>22</c:v>
                </c:pt>
                <c:pt idx="12">
                  <c:v>0</c:v>
                </c:pt>
              </c:numCache>
            </c:numRef>
          </c:val>
          <c:extLst>
            <c:ext xmlns:c16="http://schemas.microsoft.com/office/drawing/2014/chart" uri="{C3380CC4-5D6E-409C-BE32-E72D297353CC}">
              <c16:uniqueId val="{00000000-3ED0-4556-8B85-45468D86D7CD}"/>
            </c:ext>
          </c:extLst>
        </c:ser>
        <c:ser>
          <c:idx val="1"/>
          <c:order val="1"/>
          <c:tx>
            <c:strRef>
              <c:f>'September 17, 2021'!$C$2:$C$3</c:f>
              <c:strCache>
                <c:ptCount val="2"/>
                <c:pt idx="0">
                  <c:v>Total ICU</c:v>
                </c:pt>
                <c:pt idx="1">
                  <c:v>721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D0-4556-8B85-45468D86D7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17,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17, 2021'!$C$4:$C$16</c:f>
              <c:numCache>
                <c:formatCode>General</c:formatCode>
                <c:ptCount val="13"/>
                <c:pt idx="0">
                  <c:v>134</c:v>
                </c:pt>
                <c:pt idx="1">
                  <c:v>222</c:v>
                </c:pt>
                <c:pt idx="2">
                  <c:v>194</c:v>
                </c:pt>
                <c:pt idx="3">
                  <c:v>95</c:v>
                </c:pt>
                <c:pt idx="4">
                  <c:v>0</c:v>
                </c:pt>
                <c:pt idx="5">
                  <c:v>9</c:v>
                </c:pt>
                <c:pt idx="6">
                  <c:v>12</c:v>
                </c:pt>
                <c:pt idx="7">
                  <c:v>0</c:v>
                </c:pt>
                <c:pt idx="8">
                  <c:v>48</c:v>
                </c:pt>
                <c:pt idx="9">
                  <c:v>0</c:v>
                </c:pt>
                <c:pt idx="10">
                  <c:v>7</c:v>
                </c:pt>
                <c:pt idx="11">
                  <c:v>0</c:v>
                </c:pt>
                <c:pt idx="12">
                  <c:v>0</c:v>
                </c:pt>
              </c:numCache>
            </c:numRef>
          </c:val>
          <c:extLst>
            <c:ext xmlns:c16="http://schemas.microsoft.com/office/drawing/2014/chart" uri="{C3380CC4-5D6E-409C-BE32-E72D297353CC}">
              <c16:uniqueId val="{00000002-3ED0-4556-8B85-45468D86D7CD}"/>
            </c:ext>
          </c:extLst>
        </c:ser>
        <c:dLbls>
          <c:dLblPos val="outEnd"/>
          <c:showLegendKey val="0"/>
          <c:showVal val="1"/>
          <c:showCatName val="0"/>
          <c:showSerName val="0"/>
          <c:showPercent val="0"/>
          <c:showBubbleSize val="0"/>
        </c:dLbls>
        <c:gapWidth val="100"/>
        <c:overlap val="-24"/>
        <c:axId val="451822392"/>
        <c:axId val="451822784"/>
      </c:barChart>
      <c:catAx>
        <c:axId val="45182239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22784"/>
        <c:crosses val="autoZero"/>
        <c:auto val="1"/>
        <c:lblAlgn val="ctr"/>
        <c:lblOffset val="100"/>
        <c:noMultiLvlLbl val="0"/>
      </c:catAx>
      <c:valAx>
        <c:axId val="45182278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22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2021-09-15</a:t>
            </a:r>
          </a:p>
        </c:rich>
      </c:tx>
      <c:layout>
        <c:manualLayout>
          <c:xMode val="edge"/>
          <c:yMode val="edge"/>
          <c:x val="0.12829946229739789"/>
          <c:y val="3.3036997829726911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'September 15, 2021'!$B$2:$B$3</c:f>
              <c:strCache>
                <c:ptCount val="2"/>
                <c:pt idx="0">
                  <c:v>Total Hospital</c:v>
                </c:pt>
                <c:pt idx="1">
                  <c:v>2713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15,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15, 2021'!$B$4:$B$16</c:f>
              <c:numCache>
                <c:formatCode>General</c:formatCode>
                <c:ptCount val="13"/>
                <c:pt idx="0">
                  <c:v>428</c:v>
                </c:pt>
                <c:pt idx="1">
                  <c:v>1034</c:v>
                </c:pt>
                <c:pt idx="2" formatCode="0">
                  <c:v>534</c:v>
                </c:pt>
                <c:pt idx="3" formatCode="#,##0">
                  <c:v>335</c:v>
                </c:pt>
                <c:pt idx="4">
                  <c:v>4</c:v>
                </c:pt>
                <c:pt idx="5">
                  <c:v>19</c:v>
                </c:pt>
                <c:pt idx="6">
                  <c:v>83</c:v>
                </c:pt>
                <c:pt idx="7">
                  <c:v>0</c:v>
                </c:pt>
                <c:pt idx="8">
                  <c:v>224</c:v>
                </c:pt>
                <c:pt idx="9">
                  <c:v>1</c:v>
                </c:pt>
                <c:pt idx="10">
                  <c:v>28</c:v>
                </c:pt>
                <c:pt idx="11">
                  <c:v>23</c:v>
                </c:pt>
                <c:pt idx="12">
                  <c:v>0</c:v>
                </c:pt>
              </c:numCache>
            </c:numRef>
          </c:val>
          <c:extLst>
            <c:ext xmlns:c16="http://schemas.microsoft.com/office/drawing/2014/chart" uri="{C3380CC4-5D6E-409C-BE32-E72D297353CC}">
              <c16:uniqueId val="{00000000-B0E4-497B-8999-5644CB312EC9}"/>
            </c:ext>
          </c:extLst>
        </c:ser>
        <c:ser>
          <c:idx val="1"/>
          <c:order val="1"/>
          <c:tx>
            <c:strRef>
              <c:f>'September 15, 2021'!$C$2:$C$3</c:f>
              <c:strCache>
                <c:ptCount val="2"/>
                <c:pt idx="0">
                  <c:v>Total ICU</c:v>
                </c:pt>
                <c:pt idx="1">
                  <c:v>693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E4-497B-8999-5644CB312EC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15,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15, 2021'!$C$4:$C$16</c:f>
              <c:numCache>
                <c:formatCode>General</c:formatCode>
                <c:ptCount val="13"/>
                <c:pt idx="0">
                  <c:v>140</c:v>
                </c:pt>
                <c:pt idx="1">
                  <c:v>212</c:v>
                </c:pt>
                <c:pt idx="2">
                  <c:v>188</c:v>
                </c:pt>
                <c:pt idx="3">
                  <c:v>85</c:v>
                </c:pt>
                <c:pt idx="4">
                  <c:v>0</c:v>
                </c:pt>
                <c:pt idx="5">
                  <c:v>7</c:v>
                </c:pt>
                <c:pt idx="6">
                  <c:v>14</c:v>
                </c:pt>
                <c:pt idx="7">
                  <c:v>0</c:v>
                </c:pt>
                <c:pt idx="8">
                  <c:v>40</c:v>
                </c:pt>
                <c:pt idx="9">
                  <c:v>0</c:v>
                </c:pt>
                <c:pt idx="10">
                  <c:v>7</c:v>
                </c:pt>
                <c:pt idx="11">
                  <c:v>0</c:v>
                </c:pt>
                <c:pt idx="12">
                  <c:v>0</c:v>
                </c:pt>
              </c:numCache>
            </c:numRef>
          </c:val>
          <c:extLst>
            <c:ext xmlns:c16="http://schemas.microsoft.com/office/drawing/2014/chart" uri="{C3380CC4-5D6E-409C-BE32-E72D297353CC}">
              <c16:uniqueId val="{00000002-B0E4-497B-8999-5644CB312EC9}"/>
            </c:ext>
          </c:extLst>
        </c:ser>
        <c:dLbls>
          <c:dLblPos val="outEnd"/>
          <c:showLegendKey val="0"/>
          <c:showVal val="1"/>
          <c:showCatName val="0"/>
          <c:showSerName val="0"/>
          <c:showPercent val="0"/>
          <c:showBubbleSize val="0"/>
        </c:dLbls>
        <c:gapWidth val="100"/>
        <c:overlap val="-24"/>
        <c:axId val="451811808"/>
        <c:axId val="451825920"/>
      </c:barChart>
      <c:catAx>
        <c:axId val="45181180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25920"/>
        <c:crosses val="autoZero"/>
        <c:auto val="1"/>
        <c:lblAlgn val="ctr"/>
        <c:lblOffset val="100"/>
        <c:noMultiLvlLbl val="0"/>
      </c:catAx>
      <c:valAx>
        <c:axId val="45182592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118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2021-09-13</a:t>
            </a:r>
          </a:p>
        </c:rich>
      </c:tx>
      <c:layout>
        <c:manualLayout>
          <c:xMode val="edge"/>
          <c:yMode val="edge"/>
          <c:x val="0.12829946229739789"/>
          <c:y val="3.3036997829726911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'September 13, 2021'!$B$2:$B$3</c:f>
              <c:strCache>
                <c:ptCount val="2"/>
                <c:pt idx="0">
                  <c:v>Total Hospital</c:v>
                </c:pt>
                <c:pt idx="1">
                  <c:v>2397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13,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13, 2021'!$B$4:$B$16</c:f>
              <c:numCache>
                <c:formatCode>General</c:formatCode>
                <c:ptCount val="13"/>
                <c:pt idx="0">
                  <c:v>416</c:v>
                </c:pt>
                <c:pt idx="1">
                  <c:v>855</c:v>
                </c:pt>
                <c:pt idx="2" formatCode="0">
                  <c:v>478</c:v>
                </c:pt>
                <c:pt idx="3" formatCode="#,##0">
                  <c:v>302</c:v>
                </c:pt>
                <c:pt idx="4">
                  <c:v>1</c:v>
                </c:pt>
                <c:pt idx="5">
                  <c:v>9</c:v>
                </c:pt>
                <c:pt idx="6">
                  <c:v>93</c:v>
                </c:pt>
                <c:pt idx="7">
                  <c:v>0</c:v>
                </c:pt>
                <c:pt idx="8">
                  <c:v>198</c:v>
                </c:pt>
                <c:pt idx="9">
                  <c:v>1</c:v>
                </c:pt>
                <c:pt idx="10">
                  <c:v>24</c:v>
                </c:pt>
                <c:pt idx="11">
                  <c:v>20</c:v>
                </c:pt>
                <c:pt idx="12">
                  <c:v>0</c:v>
                </c:pt>
              </c:numCache>
            </c:numRef>
          </c:val>
          <c:extLst>
            <c:ext xmlns:c16="http://schemas.microsoft.com/office/drawing/2014/chart" uri="{C3380CC4-5D6E-409C-BE32-E72D297353CC}">
              <c16:uniqueId val="{00000000-43F9-4133-968A-9E9378F527F2}"/>
            </c:ext>
          </c:extLst>
        </c:ser>
        <c:ser>
          <c:idx val="1"/>
          <c:order val="1"/>
          <c:tx>
            <c:strRef>
              <c:f>'September 13, 2021'!$C$2:$C$3</c:f>
              <c:strCache>
                <c:ptCount val="2"/>
                <c:pt idx="0">
                  <c:v>Total ICU</c:v>
                </c:pt>
                <c:pt idx="1">
                  <c:v>638</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3F9-4133-968A-9E9378F527F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13,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13, 2021'!$C$4:$C$16</c:f>
              <c:numCache>
                <c:formatCode>General</c:formatCode>
                <c:ptCount val="13"/>
                <c:pt idx="0">
                  <c:v>135</c:v>
                </c:pt>
                <c:pt idx="1">
                  <c:v>169</c:v>
                </c:pt>
                <c:pt idx="2">
                  <c:v>189</c:v>
                </c:pt>
                <c:pt idx="3">
                  <c:v>75</c:v>
                </c:pt>
                <c:pt idx="4">
                  <c:v>0</c:v>
                </c:pt>
                <c:pt idx="5">
                  <c:v>3</c:v>
                </c:pt>
                <c:pt idx="6">
                  <c:v>16</c:v>
                </c:pt>
                <c:pt idx="7">
                  <c:v>0</c:v>
                </c:pt>
                <c:pt idx="8">
                  <c:v>45</c:v>
                </c:pt>
                <c:pt idx="9">
                  <c:v>0</c:v>
                </c:pt>
                <c:pt idx="10">
                  <c:v>6</c:v>
                </c:pt>
                <c:pt idx="11">
                  <c:v>0</c:v>
                </c:pt>
                <c:pt idx="12">
                  <c:v>0</c:v>
                </c:pt>
              </c:numCache>
            </c:numRef>
          </c:val>
          <c:extLst>
            <c:ext xmlns:c16="http://schemas.microsoft.com/office/drawing/2014/chart" uri="{C3380CC4-5D6E-409C-BE32-E72D297353CC}">
              <c16:uniqueId val="{00000002-43F9-4133-968A-9E9378F527F2}"/>
            </c:ext>
          </c:extLst>
        </c:ser>
        <c:dLbls>
          <c:dLblPos val="outEnd"/>
          <c:showLegendKey val="0"/>
          <c:showVal val="1"/>
          <c:showCatName val="0"/>
          <c:showSerName val="0"/>
          <c:showPercent val="0"/>
          <c:showBubbleSize val="0"/>
        </c:dLbls>
        <c:gapWidth val="100"/>
        <c:overlap val="-24"/>
        <c:axId val="451834152"/>
        <c:axId val="451828664"/>
      </c:barChart>
      <c:catAx>
        <c:axId val="45183415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28664"/>
        <c:crosses val="autoZero"/>
        <c:auto val="1"/>
        <c:lblAlgn val="ctr"/>
        <c:lblOffset val="100"/>
        <c:noMultiLvlLbl val="0"/>
      </c:catAx>
      <c:valAx>
        <c:axId val="45182866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34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2021-09-10</a:t>
            </a:r>
          </a:p>
        </c:rich>
      </c:tx>
      <c:layout>
        <c:manualLayout>
          <c:xMode val="edge"/>
          <c:yMode val="edge"/>
          <c:x val="0.12829946229739789"/>
          <c:y val="2.3609096959279263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'September 10, 2021'!$B$2:$B$3</c:f>
              <c:strCache>
                <c:ptCount val="2"/>
                <c:pt idx="0">
                  <c:v>Total Hospital</c:v>
                </c:pt>
                <c:pt idx="1">
                  <c:v>2368</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10,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10, 2021'!$B$4:$B$16</c:f>
              <c:numCache>
                <c:formatCode>General</c:formatCode>
                <c:ptCount val="13"/>
                <c:pt idx="0">
                  <c:v>392</c:v>
                </c:pt>
                <c:pt idx="1">
                  <c:v>833</c:v>
                </c:pt>
                <c:pt idx="2" formatCode="0">
                  <c:v>538</c:v>
                </c:pt>
                <c:pt idx="3" formatCode="#,##0">
                  <c:v>279</c:v>
                </c:pt>
                <c:pt idx="4">
                  <c:v>1</c:v>
                </c:pt>
                <c:pt idx="5">
                  <c:v>9</c:v>
                </c:pt>
                <c:pt idx="6">
                  <c:v>93</c:v>
                </c:pt>
                <c:pt idx="7">
                  <c:v>0</c:v>
                </c:pt>
                <c:pt idx="8">
                  <c:v>184</c:v>
                </c:pt>
                <c:pt idx="9">
                  <c:v>1</c:v>
                </c:pt>
                <c:pt idx="10">
                  <c:v>23</c:v>
                </c:pt>
                <c:pt idx="11">
                  <c:v>15</c:v>
                </c:pt>
                <c:pt idx="12">
                  <c:v>0</c:v>
                </c:pt>
              </c:numCache>
            </c:numRef>
          </c:val>
          <c:extLst>
            <c:ext xmlns:c16="http://schemas.microsoft.com/office/drawing/2014/chart" uri="{C3380CC4-5D6E-409C-BE32-E72D297353CC}">
              <c16:uniqueId val="{00000000-0949-4460-BAAE-EC683CD4B03E}"/>
            </c:ext>
          </c:extLst>
        </c:ser>
        <c:ser>
          <c:idx val="1"/>
          <c:order val="1"/>
          <c:tx>
            <c:strRef>
              <c:f>'September 10, 2021'!$C$2:$C$3</c:f>
              <c:strCache>
                <c:ptCount val="2"/>
                <c:pt idx="0">
                  <c:v>Total ICU</c:v>
                </c:pt>
                <c:pt idx="1">
                  <c:v>590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949-4460-BAAE-EC683CD4B03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10,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10, 2021'!$C$4:$C$16</c:f>
              <c:numCache>
                <c:formatCode>General</c:formatCode>
                <c:ptCount val="13"/>
                <c:pt idx="0">
                  <c:v>130</c:v>
                </c:pt>
                <c:pt idx="1">
                  <c:v>154</c:v>
                </c:pt>
                <c:pt idx="2">
                  <c:v>177</c:v>
                </c:pt>
                <c:pt idx="3">
                  <c:v>72</c:v>
                </c:pt>
                <c:pt idx="4">
                  <c:v>0</c:v>
                </c:pt>
                <c:pt idx="5">
                  <c:v>3</c:v>
                </c:pt>
                <c:pt idx="6">
                  <c:v>16</c:v>
                </c:pt>
                <c:pt idx="7">
                  <c:v>0</c:v>
                </c:pt>
                <c:pt idx="8">
                  <c:v>32</c:v>
                </c:pt>
                <c:pt idx="9">
                  <c:v>0</c:v>
                </c:pt>
                <c:pt idx="10">
                  <c:v>6</c:v>
                </c:pt>
                <c:pt idx="11">
                  <c:v>0</c:v>
                </c:pt>
                <c:pt idx="12">
                  <c:v>0</c:v>
                </c:pt>
              </c:numCache>
            </c:numRef>
          </c:val>
          <c:extLst>
            <c:ext xmlns:c16="http://schemas.microsoft.com/office/drawing/2014/chart" uri="{C3380CC4-5D6E-409C-BE32-E72D297353CC}">
              <c16:uniqueId val="{00000002-0949-4460-BAAE-EC683CD4B03E}"/>
            </c:ext>
          </c:extLst>
        </c:ser>
        <c:dLbls>
          <c:dLblPos val="outEnd"/>
          <c:showLegendKey val="0"/>
          <c:showVal val="1"/>
          <c:showCatName val="0"/>
          <c:showSerName val="0"/>
          <c:showPercent val="0"/>
          <c:showBubbleSize val="0"/>
        </c:dLbls>
        <c:gapWidth val="100"/>
        <c:overlap val="-24"/>
        <c:axId val="451832192"/>
        <c:axId val="451831800"/>
      </c:barChart>
      <c:catAx>
        <c:axId val="45183219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31800"/>
        <c:crosses val="autoZero"/>
        <c:auto val="1"/>
        <c:lblAlgn val="ctr"/>
        <c:lblOffset val="100"/>
        <c:noMultiLvlLbl val="0"/>
      </c:catAx>
      <c:valAx>
        <c:axId val="45183180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32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2021-09-03</a:t>
            </a:r>
          </a:p>
        </c:rich>
      </c:tx>
      <c:layout>
        <c:manualLayout>
          <c:xMode val="edge"/>
          <c:yMode val="edge"/>
          <c:x val="0.12829946229739789"/>
          <c:y val="2.3609096959279263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'September 3, 2021'!$B$2:$B$3</c:f>
              <c:strCache>
                <c:ptCount val="2"/>
                <c:pt idx="0">
                  <c:v>Total Hospital</c:v>
                </c:pt>
                <c:pt idx="1">
                  <c:v>1868</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3,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3, 2021'!$B$4:$B$16</c:f>
              <c:numCache>
                <c:formatCode>General</c:formatCode>
                <c:ptCount val="13"/>
                <c:pt idx="0">
                  <c:v>315</c:v>
                </c:pt>
                <c:pt idx="1">
                  <c:v>601</c:v>
                </c:pt>
                <c:pt idx="2" formatCode="0">
                  <c:v>495</c:v>
                </c:pt>
                <c:pt idx="3" formatCode="#,##0">
                  <c:v>196</c:v>
                </c:pt>
                <c:pt idx="4">
                  <c:v>0</c:v>
                </c:pt>
                <c:pt idx="5">
                  <c:v>5</c:v>
                </c:pt>
                <c:pt idx="6">
                  <c:v>85</c:v>
                </c:pt>
                <c:pt idx="7">
                  <c:v>0</c:v>
                </c:pt>
                <c:pt idx="8">
                  <c:v>134</c:v>
                </c:pt>
                <c:pt idx="9">
                  <c:v>0</c:v>
                </c:pt>
                <c:pt idx="10">
                  <c:v>14</c:v>
                </c:pt>
                <c:pt idx="11">
                  <c:v>23</c:v>
                </c:pt>
                <c:pt idx="12">
                  <c:v>0</c:v>
                </c:pt>
              </c:numCache>
            </c:numRef>
          </c:val>
          <c:extLst>
            <c:ext xmlns:c16="http://schemas.microsoft.com/office/drawing/2014/chart" uri="{C3380CC4-5D6E-409C-BE32-E72D297353CC}">
              <c16:uniqueId val="{00000000-4F19-46F4-BCCA-9811D5C1ED6B}"/>
            </c:ext>
          </c:extLst>
        </c:ser>
        <c:ser>
          <c:idx val="1"/>
          <c:order val="1"/>
          <c:tx>
            <c:strRef>
              <c:f>'September 3, 2021'!$C$2:$C$3</c:f>
              <c:strCache>
                <c:ptCount val="2"/>
                <c:pt idx="0">
                  <c:v>Total ICU</c:v>
                </c:pt>
                <c:pt idx="1">
                  <c:v>492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F19-46F4-BCCA-9811D5C1ED6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3,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3, 2021'!$C$4:$C$16</c:f>
              <c:numCache>
                <c:formatCode>General</c:formatCode>
                <c:ptCount val="13"/>
                <c:pt idx="0">
                  <c:v>116</c:v>
                </c:pt>
                <c:pt idx="1">
                  <c:v>114</c:v>
                </c:pt>
                <c:pt idx="2">
                  <c:v>169</c:v>
                </c:pt>
                <c:pt idx="3">
                  <c:v>49</c:v>
                </c:pt>
                <c:pt idx="4">
                  <c:v>0</c:v>
                </c:pt>
                <c:pt idx="5">
                  <c:v>2</c:v>
                </c:pt>
                <c:pt idx="6">
                  <c:v>15</c:v>
                </c:pt>
                <c:pt idx="7">
                  <c:v>0</c:v>
                </c:pt>
                <c:pt idx="8">
                  <c:v>23</c:v>
                </c:pt>
                <c:pt idx="9">
                  <c:v>0</c:v>
                </c:pt>
                <c:pt idx="10">
                  <c:v>4</c:v>
                </c:pt>
                <c:pt idx="11">
                  <c:v>0</c:v>
                </c:pt>
                <c:pt idx="12">
                  <c:v>0</c:v>
                </c:pt>
              </c:numCache>
            </c:numRef>
          </c:val>
          <c:extLst>
            <c:ext xmlns:c16="http://schemas.microsoft.com/office/drawing/2014/chart" uri="{C3380CC4-5D6E-409C-BE32-E72D297353CC}">
              <c16:uniqueId val="{00000002-4F19-46F4-BCCA-9811D5C1ED6B}"/>
            </c:ext>
          </c:extLst>
        </c:ser>
        <c:dLbls>
          <c:dLblPos val="outEnd"/>
          <c:showLegendKey val="0"/>
          <c:showVal val="1"/>
          <c:showCatName val="0"/>
          <c:showSerName val="0"/>
          <c:showPercent val="0"/>
          <c:showBubbleSize val="0"/>
        </c:dLbls>
        <c:gapWidth val="100"/>
        <c:overlap val="-24"/>
        <c:axId val="451827096"/>
        <c:axId val="451824352"/>
      </c:barChart>
      <c:catAx>
        <c:axId val="45182709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24352"/>
        <c:crosses val="autoZero"/>
        <c:auto val="1"/>
        <c:lblAlgn val="ctr"/>
        <c:lblOffset val="100"/>
        <c:noMultiLvlLbl val="0"/>
      </c:catAx>
      <c:valAx>
        <c:axId val="45182435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27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2021-08-30</a:t>
            </a:r>
          </a:p>
        </c:rich>
      </c:tx>
      <c:layout>
        <c:manualLayout>
          <c:xMode val="edge"/>
          <c:yMode val="edge"/>
          <c:x val="0.12829946229739789"/>
          <c:y val="2.3609096959279263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'August 30, 2021'!$B$2:$B$3</c:f>
              <c:strCache>
                <c:ptCount val="2"/>
                <c:pt idx="0">
                  <c:v>Total Hospital</c:v>
                </c:pt>
                <c:pt idx="1">
                  <c:v>1439</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30,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30, 2021'!$B$4:$B$16</c:f>
              <c:numCache>
                <c:formatCode>General</c:formatCode>
                <c:ptCount val="13"/>
                <c:pt idx="0">
                  <c:v>243</c:v>
                </c:pt>
                <c:pt idx="1">
                  <c:v>410</c:v>
                </c:pt>
                <c:pt idx="2" formatCode="0">
                  <c:v>386</c:v>
                </c:pt>
                <c:pt idx="3" formatCode="#,##0">
                  <c:v>162</c:v>
                </c:pt>
                <c:pt idx="4">
                  <c:v>0</c:v>
                </c:pt>
                <c:pt idx="5">
                  <c:v>4</c:v>
                </c:pt>
                <c:pt idx="6">
                  <c:v>83</c:v>
                </c:pt>
                <c:pt idx="7">
                  <c:v>0</c:v>
                </c:pt>
                <c:pt idx="8">
                  <c:v>111</c:v>
                </c:pt>
                <c:pt idx="9">
                  <c:v>0</c:v>
                </c:pt>
                <c:pt idx="10">
                  <c:v>13</c:v>
                </c:pt>
                <c:pt idx="11">
                  <c:v>27</c:v>
                </c:pt>
                <c:pt idx="12">
                  <c:v>0</c:v>
                </c:pt>
              </c:numCache>
            </c:numRef>
          </c:val>
          <c:extLst>
            <c:ext xmlns:c16="http://schemas.microsoft.com/office/drawing/2014/chart" uri="{C3380CC4-5D6E-409C-BE32-E72D297353CC}">
              <c16:uniqueId val="{00000000-B734-4200-B754-32DE6131FBD6}"/>
            </c:ext>
          </c:extLst>
        </c:ser>
        <c:ser>
          <c:idx val="1"/>
          <c:order val="1"/>
          <c:tx>
            <c:strRef>
              <c:f>'August 30, 2021'!$C$2:$C$3</c:f>
              <c:strCache>
                <c:ptCount val="2"/>
                <c:pt idx="0">
                  <c:v>Total ICU</c:v>
                </c:pt>
                <c:pt idx="1">
                  <c:v>405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734-4200-B754-32DE6131FBD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30,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30, 2021'!$C$4:$C$16</c:f>
              <c:numCache>
                <c:formatCode>General</c:formatCode>
                <c:ptCount val="13"/>
                <c:pt idx="0">
                  <c:v>84</c:v>
                </c:pt>
                <c:pt idx="1">
                  <c:v>74</c:v>
                </c:pt>
                <c:pt idx="2">
                  <c:v>160</c:v>
                </c:pt>
                <c:pt idx="3">
                  <c:v>37</c:v>
                </c:pt>
                <c:pt idx="4">
                  <c:v>0</c:v>
                </c:pt>
                <c:pt idx="5">
                  <c:v>1</c:v>
                </c:pt>
                <c:pt idx="6">
                  <c:v>18</c:v>
                </c:pt>
                <c:pt idx="7">
                  <c:v>0</c:v>
                </c:pt>
                <c:pt idx="8">
                  <c:v>27</c:v>
                </c:pt>
                <c:pt idx="9">
                  <c:v>0</c:v>
                </c:pt>
                <c:pt idx="10">
                  <c:v>4</c:v>
                </c:pt>
                <c:pt idx="11">
                  <c:v>0</c:v>
                </c:pt>
                <c:pt idx="12">
                  <c:v>0</c:v>
                </c:pt>
              </c:numCache>
            </c:numRef>
          </c:val>
          <c:extLst>
            <c:ext xmlns:c16="http://schemas.microsoft.com/office/drawing/2014/chart" uri="{C3380CC4-5D6E-409C-BE32-E72D297353CC}">
              <c16:uniqueId val="{00000002-B734-4200-B754-32DE6131FBD6}"/>
            </c:ext>
          </c:extLst>
        </c:ser>
        <c:dLbls>
          <c:dLblPos val="outEnd"/>
          <c:showLegendKey val="0"/>
          <c:showVal val="1"/>
          <c:showCatName val="0"/>
          <c:showSerName val="0"/>
          <c:showPercent val="0"/>
          <c:showBubbleSize val="0"/>
        </c:dLbls>
        <c:gapWidth val="100"/>
        <c:overlap val="-24"/>
        <c:axId val="451831016"/>
        <c:axId val="451834936"/>
      </c:barChart>
      <c:catAx>
        <c:axId val="45183101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34936"/>
        <c:crosses val="autoZero"/>
        <c:auto val="1"/>
        <c:lblAlgn val="ctr"/>
        <c:lblOffset val="100"/>
        <c:noMultiLvlLbl val="0"/>
      </c:catAx>
      <c:valAx>
        <c:axId val="45183493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31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2021-08-27</a:t>
            </a:r>
          </a:p>
        </c:rich>
      </c:tx>
      <c:layout>
        <c:manualLayout>
          <c:xMode val="edge"/>
          <c:yMode val="edge"/>
          <c:x val="0.12829946229739789"/>
          <c:y val="2.3609096959279263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'August 27, 2021'!$B$2:$B$3</c:f>
              <c:strCache>
                <c:ptCount val="2"/>
                <c:pt idx="0">
                  <c:v>Total Hospital</c:v>
                </c:pt>
                <c:pt idx="1">
                  <c:v>1467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27,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27, 2021'!$B$4:$B$16</c:f>
              <c:numCache>
                <c:formatCode>General</c:formatCode>
                <c:ptCount val="13"/>
                <c:pt idx="0">
                  <c:v>232</c:v>
                </c:pt>
                <c:pt idx="1">
                  <c:v>372</c:v>
                </c:pt>
                <c:pt idx="2" formatCode="0">
                  <c:v>464</c:v>
                </c:pt>
                <c:pt idx="3" formatCode="#,##0">
                  <c:v>162</c:v>
                </c:pt>
                <c:pt idx="4">
                  <c:v>0</c:v>
                </c:pt>
                <c:pt idx="5">
                  <c:v>3</c:v>
                </c:pt>
                <c:pt idx="6">
                  <c:v>86</c:v>
                </c:pt>
                <c:pt idx="7">
                  <c:v>1</c:v>
                </c:pt>
                <c:pt idx="8">
                  <c:v>104</c:v>
                </c:pt>
                <c:pt idx="9">
                  <c:v>0</c:v>
                </c:pt>
                <c:pt idx="10">
                  <c:v>12</c:v>
                </c:pt>
                <c:pt idx="11">
                  <c:v>31</c:v>
                </c:pt>
                <c:pt idx="12">
                  <c:v>0</c:v>
                </c:pt>
              </c:numCache>
            </c:numRef>
          </c:val>
          <c:extLst>
            <c:ext xmlns:c16="http://schemas.microsoft.com/office/drawing/2014/chart" uri="{C3380CC4-5D6E-409C-BE32-E72D297353CC}">
              <c16:uniqueId val="{00000000-5BB4-4090-A19E-0A93D584E2EA}"/>
            </c:ext>
          </c:extLst>
        </c:ser>
        <c:ser>
          <c:idx val="1"/>
          <c:order val="1"/>
          <c:tx>
            <c:strRef>
              <c:f>'August 27, 2021'!$C$2:$C$3</c:f>
              <c:strCache>
                <c:ptCount val="2"/>
                <c:pt idx="0">
                  <c:v>Total ICU</c:v>
                </c:pt>
                <c:pt idx="1">
                  <c:v>385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B4-4090-A19E-0A93D584E2E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27,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27, 2021'!$C$4:$C$16</c:f>
              <c:numCache>
                <c:formatCode>General</c:formatCode>
                <c:ptCount val="13"/>
                <c:pt idx="0">
                  <c:v>83</c:v>
                </c:pt>
                <c:pt idx="1">
                  <c:v>64</c:v>
                </c:pt>
                <c:pt idx="2">
                  <c:v>158</c:v>
                </c:pt>
                <c:pt idx="3">
                  <c:v>36</c:v>
                </c:pt>
                <c:pt idx="4">
                  <c:v>0</c:v>
                </c:pt>
                <c:pt idx="5">
                  <c:v>0</c:v>
                </c:pt>
                <c:pt idx="6">
                  <c:v>21</c:v>
                </c:pt>
                <c:pt idx="7">
                  <c:v>0</c:v>
                </c:pt>
                <c:pt idx="8">
                  <c:v>19</c:v>
                </c:pt>
                <c:pt idx="9">
                  <c:v>0</c:v>
                </c:pt>
                <c:pt idx="10">
                  <c:v>4</c:v>
                </c:pt>
                <c:pt idx="11">
                  <c:v>0</c:v>
                </c:pt>
                <c:pt idx="12">
                  <c:v>0</c:v>
                </c:pt>
              </c:numCache>
            </c:numRef>
          </c:val>
          <c:extLst>
            <c:ext xmlns:c16="http://schemas.microsoft.com/office/drawing/2014/chart" uri="{C3380CC4-5D6E-409C-BE32-E72D297353CC}">
              <c16:uniqueId val="{00000002-5BB4-4090-A19E-0A93D584E2EA}"/>
            </c:ext>
          </c:extLst>
        </c:ser>
        <c:dLbls>
          <c:dLblPos val="outEnd"/>
          <c:showLegendKey val="0"/>
          <c:showVal val="1"/>
          <c:showCatName val="0"/>
          <c:showSerName val="0"/>
          <c:showPercent val="0"/>
          <c:showBubbleSize val="0"/>
        </c:dLbls>
        <c:gapWidth val="100"/>
        <c:overlap val="-24"/>
        <c:axId val="451833368"/>
        <c:axId val="451826704"/>
      </c:barChart>
      <c:catAx>
        <c:axId val="4518333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26704"/>
        <c:crosses val="autoZero"/>
        <c:auto val="1"/>
        <c:lblAlgn val="ctr"/>
        <c:lblOffset val="100"/>
        <c:noMultiLvlLbl val="0"/>
      </c:catAx>
      <c:valAx>
        <c:axId val="45182670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33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2021-08-25</a:t>
            </a:r>
          </a:p>
        </c:rich>
      </c:tx>
      <c:layout>
        <c:manualLayout>
          <c:xMode val="edge"/>
          <c:yMode val="edge"/>
          <c:x val="0.12829946229739789"/>
          <c:y val="2.3609096959279263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'August 25, 2021'!$B$2:$B$3</c:f>
              <c:strCache>
                <c:ptCount val="2"/>
                <c:pt idx="0">
                  <c:v>Total Hospital</c:v>
                </c:pt>
                <c:pt idx="1">
                  <c:v>1357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25,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25, 2021'!$B$4:$B$16</c:f>
              <c:numCache>
                <c:formatCode>General</c:formatCode>
                <c:ptCount val="13"/>
                <c:pt idx="0">
                  <c:v>216</c:v>
                </c:pt>
                <c:pt idx="1">
                  <c:v>315</c:v>
                </c:pt>
                <c:pt idx="2" formatCode="0">
                  <c:v>444</c:v>
                </c:pt>
                <c:pt idx="3" formatCode="#,##0">
                  <c:v>143</c:v>
                </c:pt>
                <c:pt idx="4">
                  <c:v>0</c:v>
                </c:pt>
                <c:pt idx="5">
                  <c:v>3</c:v>
                </c:pt>
                <c:pt idx="6">
                  <c:v>79</c:v>
                </c:pt>
                <c:pt idx="7">
                  <c:v>1</c:v>
                </c:pt>
                <c:pt idx="8">
                  <c:v>108</c:v>
                </c:pt>
                <c:pt idx="9">
                  <c:v>0</c:v>
                </c:pt>
                <c:pt idx="10">
                  <c:v>12</c:v>
                </c:pt>
                <c:pt idx="11">
                  <c:v>36</c:v>
                </c:pt>
                <c:pt idx="12">
                  <c:v>0</c:v>
                </c:pt>
              </c:numCache>
            </c:numRef>
          </c:val>
          <c:extLst>
            <c:ext xmlns:c16="http://schemas.microsoft.com/office/drawing/2014/chart" uri="{C3380CC4-5D6E-409C-BE32-E72D297353CC}">
              <c16:uniqueId val="{00000000-FD2F-4EA6-8EC8-499758CE2898}"/>
            </c:ext>
          </c:extLst>
        </c:ser>
        <c:ser>
          <c:idx val="1"/>
          <c:order val="1"/>
          <c:tx>
            <c:strRef>
              <c:f>'August 25, 2021'!$C$2:$C$3</c:f>
              <c:strCache>
                <c:ptCount val="2"/>
                <c:pt idx="0">
                  <c:v>Total ICU</c:v>
                </c:pt>
                <c:pt idx="1">
                  <c:v>369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2F-4EA6-8EC8-499758CE289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25,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25, 2021'!$C$4:$C$16</c:f>
              <c:numCache>
                <c:formatCode>General</c:formatCode>
                <c:ptCount val="13"/>
                <c:pt idx="0">
                  <c:v>78</c:v>
                </c:pt>
                <c:pt idx="1">
                  <c:v>57</c:v>
                </c:pt>
                <c:pt idx="2">
                  <c:v>161</c:v>
                </c:pt>
                <c:pt idx="3">
                  <c:v>33</c:v>
                </c:pt>
                <c:pt idx="4">
                  <c:v>0</c:v>
                </c:pt>
                <c:pt idx="5">
                  <c:v>0</c:v>
                </c:pt>
                <c:pt idx="6">
                  <c:v>16</c:v>
                </c:pt>
                <c:pt idx="7">
                  <c:v>0</c:v>
                </c:pt>
                <c:pt idx="8">
                  <c:v>20</c:v>
                </c:pt>
                <c:pt idx="9">
                  <c:v>0</c:v>
                </c:pt>
                <c:pt idx="10">
                  <c:v>4</c:v>
                </c:pt>
                <c:pt idx="11">
                  <c:v>0</c:v>
                </c:pt>
                <c:pt idx="12">
                  <c:v>0</c:v>
                </c:pt>
              </c:numCache>
            </c:numRef>
          </c:val>
          <c:extLst>
            <c:ext xmlns:c16="http://schemas.microsoft.com/office/drawing/2014/chart" uri="{C3380CC4-5D6E-409C-BE32-E72D297353CC}">
              <c16:uniqueId val="{00000002-FD2F-4EA6-8EC8-499758CE2898}"/>
            </c:ext>
          </c:extLst>
        </c:ser>
        <c:dLbls>
          <c:dLblPos val="outEnd"/>
          <c:showLegendKey val="0"/>
          <c:showVal val="1"/>
          <c:showCatName val="0"/>
          <c:showSerName val="0"/>
          <c:showPercent val="0"/>
          <c:showBubbleSize val="0"/>
        </c:dLbls>
        <c:gapWidth val="100"/>
        <c:overlap val="-24"/>
        <c:axId val="451835328"/>
        <c:axId val="451824744"/>
      </c:barChart>
      <c:catAx>
        <c:axId val="45183532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24744"/>
        <c:crosses val="autoZero"/>
        <c:auto val="1"/>
        <c:lblAlgn val="ctr"/>
        <c:lblOffset val="100"/>
        <c:noMultiLvlLbl val="0"/>
      </c:catAx>
      <c:valAx>
        <c:axId val="45182474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35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2021-08-23</a:t>
            </a:r>
          </a:p>
        </c:rich>
      </c:tx>
      <c:layout>
        <c:manualLayout>
          <c:xMode val="edge"/>
          <c:yMode val="edge"/>
          <c:x val="0.12829946229739789"/>
          <c:y val="2.3609096959279263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'August 23, 2021'!$B$2:$B$3</c:f>
              <c:strCache>
                <c:ptCount val="2"/>
                <c:pt idx="0">
                  <c:v>Total Hospital</c:v>
                </c:pt>
                <c:pt idx="1">
                  <c:v>1075</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23,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23, 2021'!$B$4:$B$16</c:f>
              <c:numCache>
                <c:formatCode>General</c:formatCode>
                <c:ptCount val="13"/>
                <c:pt idx="0">
                  <c:v>188</c:v>
                </c:pt>
                <c:pt idx="1">
                  <c:v>169</c:v>
                </c:pt>
                <c:pt idx="2" formatCode="0">
                  <c:v>355</c:v>
                </c:pt>
                <c:pt idx="3" formatCode="#,##0">
                  <c:v>130</c:v>
                </c:pt>
                <c:pt idx="4">
                  <c:v>1</c:v>
                </c:pt>
                <c:pt idx="5">
                  <c:v>1</c:v>
                </c:pt>
                <c:pt idx="6">
                  <c:v>83</c:v>
                </c:pt>
                <c:pt idx="7">
                  <c:v>1</c:v>
                </c:pt>
                <c:pt idx="8">
                  <c:v>94</c:v>
                </c:pt>
                <c:pt idx="9">
                  <c:v>0</c:v>
                </c:pt>
                <c:pt idx="10">
                  <c:v>1</c:v>
                </c:pt>
                <c:pt idx="11">
                  <c:v>52</c:v>
                </c:pt>
                <c:pt idx="12">
                  <c:v>0</c:v>
                </c:pt>
              </c:numCache>
            </c:numRef>
          </c:val>
          <c:extLst>
            <c:ext xmlns:c16="http://schemas.microsoft.com/office/drawing/2014/chart" uri="{C3380CC4-5D6E-409C-BE32-E72D297353CC}">
              <c16:uniqueId val="{00000000-7544-4733-B36E-54FF7195810E}"/>
            </c:ext>
          </c:extLst>
        </c:ser>
        <c:ser>
          <c:idx val="1"/>
          <c:order val="1"/>
          <c:tx>
            <c:strRef>
              <c:f>'August 23, 2021'!$C$2:$C$3</c:f>
              <c:strCache>
                <c:ptCount val="2"/>
                <c:pt idx="0">
                  <c:v>Total ICU</c:v>
                </c:pt>
                <c:pt idx="1">
                  <c:v>316</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44-4733-B36E-54FF7195810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23,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23, 2021'!$C$4:$C$16</c:f>
              <c:numCache>
                <c:formatCode>General</c:formatCode>
                <c:ptCount val="13"/>
                <c:pt idx="0">
                  <c:v>59</c:v>
                </c:pt>
                <c:pt idx="1">
                  <c:v>48</c:v>
                </c:pt>
                <c:pt idx="2">
                  <c:v>151</c:v>
                </c:pt>
                <c:pt idx="3">
                  <c:v>31</c:v>
                </c:pt>
                <c:pt idx="4">
                  <c:v>1</c:v>
                </c:pt>
                <c:pt idx="5">
                  <c:v>0</c:v>
                </c:pt>
                <c:pt idx="6">
                  <c:v>14</c:v>
                </c:pt>
                <c:pt idx="7">
                  <c:v>0</c:v>
                </c:pt>
                <c:pt idx="8">
                  <c:v>12</c:v>
                </c:pt>
                <c:pt idx="9">
                  <c:v>0</c:v>
                </c:pt>
                <c:pt idx="10">
                  <c:v>0</c:v>
                </c:pt>
                <c:pt idx="11">
                  <c:v>0</c:v>
                </c:pt>
                <c:pt idx="12">
                  <c:v>0</c:v>
                </c:pt>
              </c:numCache>
            </c:numRef>
          </c:val>
          <c:extLst>
            <c:ext xmlns:c16="http://schemas.microsoft.com/office/drawing/2014/chart" uri="{C3380CC4-5D6E-409C-BE32-E72D297353CC}">
              <c16:uniqueId val="{00000002-7544-4733-B36E-54FF7195810E}"/>
            </c:ext>
          </c:extLst>
        </c:ser>
        <c:dLbls>
          <c:dLblPos val="outEnd"/>
          <c:showLegendKey val="0"/>
          <c:showVal val="1"/>
          <c:showCatName val="0"/>
          <c:showSerName val="0"/>
          <c:showPercent val="0"/>
          <c:showBubbleSize val="0"/>
        </c:dLbls>
        <c:gapWidth val="100"/>
        <c:overlap val="-24"/>
        <c:axId val="451832584"/>
        <c:axId val="451831408"/>
      </c:barChart>
      <c:catAx>
        <c:axId val="45183258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31408"/>
        <c:crosses val="autoZero"/>
        <c:auto val="1"/>
        <c:lblAlgn val="ctr"/>
        <c:lblOffset val="100"/>
        <c:noMultiLvlLbl val="0"/>
      </c:catAx>
      <c:valAx>
        <c:axId val="45183140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325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2021-08-20</a:t>
            </a:r>
          </a:p>
        </c:rich>
      </c:tx>
      <c:layout>
        <c:manualLayout>
          <c:xMode val="edge"/>
          <c:yMode val="edge"/>
          <c:x val="0.12829946229739789"/>
          <c:y val="2.3609096959279263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'August 20, 2021'!$B$2:$B$3</c:f>
              <c:strCache>
                <c:ptCount val="2"/>
                <c:pt idx="0">
                  <c:v>Total Hospital</c:v>
                </c:pt>
                <c:pt idx="1">
                  <c:v>1090</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20,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20, 2021'!$B$4:$B$16</c:f>
              <c:numCache>
                <c:formatCode>General</c:formatCode>
                <c:ptCount val="13"/>
                <c:pt idx="0">
                  <c:v>177</c:v>
                </c:pt>
                <c:pt idx="1">
                  <c:v>241</c:v>
                </c:pt>
                <c:pt idx="2" formatCode="0">
                  <c:v>332</c:v>
                </c:pt>
                <c:pt idx="3" formatCode="#,##0">
                  <c:v>117</c:v>
                </c:pt>
                <c:pt idx="4">
                  <c:v>1</c:v>
                </c:pt>
                <c:pt idx="5">
                  <c:v>1</c:v>
                </c:pt>
                <c:pt idx="6">
                  <c:v>83</c:v>
                </c:pt>
                <c:pt idx="7">
                  <c:v>1</c:v>
                </c:pt>
                <c:pt idx="8">
                  <c:v>86</c:v>
                </c:pt>
                <c:pt idx="9">
                  <c:v>0</c:v>
                </c:pt>
                <c:pt idx="10">
                  <c:v>1</c:v>
                </c:pt>
                <c:pt idx="11">
                  <c:v>50</c:v>
                </c:pt>
                <c:pt idx="12">
                  <c:v>0</c:v>
                </c:pt>
              </c:numCache>
            </c:numRef>
          </c:val>
          <c:extLst>
            <c:ext xmlns:c16="http://schemas.microsoft.com/office/drawing/2014/chart" uri="{C3380CC4-5D6E-409C-BE32-E72D297353CC}">
              <c16:uniqueId val="{00000000-AC70-4653-8985-B151A3EDDBEE}"/>
            </c:ext>
          </c:extLst>
        </c:ser>
        <c:ser>
          <c:idx val="1"/>
          <c:order val="1"/>
          <c:tx>
            <c:strRef>
              <c:f>'August 20, 2021'!$C$2:$C$3</c:f>
              <c:strCache>
                <c:ptCount val="2"/>
                <c:pt idx="0">
                  <c:v>Total ICU</c:v>
                </c:pt>
                <c:pt idx="1">
                  <c:v>295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C70-4653-8985-B151A3EDDBE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20,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20, 2021'!$C$4:$C$16</c:f>
              <c:numCache>
                <c:formatCode>General</c:formatCode>
                <c:ptCount val="13"/>
                <c:pt idx="0">
                  <c:v>56</c:v>
                </c:pt>
                <c:pt idx="1">
                  <c:v>43</c:v>
                </c:pt>
                <c:pt idx="2">
                  <c:v>135</c:v>
                </c:pt>
                <c:pt idx="3">
                  <c:v>30</c:v>
                </c:pt>
                <c:pt idx="4">
                  <c:v>1</c:v>
                </c:pt>
                <c:pt idx="5">
                  <c:v>0</c:v>
                </c:pt>
                <c:pt idx="6">
                  <c:v>14</c:v>
                </c:pt>
                <c:pt idx="7">
                  <c:v>0</c:v>
                </c:pt>
                <c:pt idx="8">
                  <c:v>16</c:v>
                </c:pt>
                <c:pt idx="9">
                  <c:v>0</c:v>
                </c:pt>
                <c:pt idx="10">
                  <c:v>0</c:v>
                </c:pt>
                <c:pt idx="11">
                  <c:v>0</c:v>
                </c:pt>
                <c:pt idx="12">
                  <c:v>0</c:v>
                </c:pt>
              </c:numCache>
            </c:numRef>
          </c:val>
          <c:extLst>
            <c:ext xmlns:c16="http://schemas.microsoft.com/office/drawing/2014/chart" uri="{C3380CC4-5D6E-409C-BE32-E72D297353CC}">
              <c16:uniqueId val="{00000002-AC70-4653-8985-B151A3EDDBEE}"/>
            </c:ext>
          </c:extLst>
        </c:ser>
        <c:dLbls>
          <c:dLblPos val="outEnd"/>
          <c:showLegendKey val="0"/>
          <c:showVal val="1"/>
          <c:showCatName val="0"/>
          <c:showSerName val="0"/>
          <c:showPercent val="0"/>
          <c:showBubbleSize val="0"/>
        </c:dLbls>
        <c:gapWidth val="100"/>
        <c:overlap val="-24"/>
        <c:axId val="451832976"/>
        <c:axId val="451833760"/>
      </c:barChart>
      <c:catAx>
        <c:axId val="45183297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33760"/>
        <c:crosses val="autoZero"/>
        <c:auto val="1"/>
        <c:lblAlgn val="ctr"/>
        <c:lblOffset val="100"/>
        <c:noMultiLvlLbl val="0"/>
      </c:catAx>
      <c:valAx>
        <c:axId val="45183376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32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0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0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0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0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0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0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0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0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0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0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1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1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1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1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1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1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1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1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1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1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2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2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2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2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2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2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2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2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2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2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3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3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3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3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3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3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3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3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3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3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4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4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4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4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4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4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4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4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4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4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5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5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5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5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5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5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5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5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5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5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6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6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6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6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6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6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6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6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6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6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7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7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7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7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7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7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7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7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7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7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8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8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8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8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8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8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8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8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8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8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9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9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9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9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9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9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9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9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9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9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0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0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0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0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0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0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0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0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0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0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1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1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1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1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1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1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1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1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1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1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2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2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2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2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2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2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2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2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2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2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3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3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3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3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3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3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3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3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3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3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4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4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4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4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4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4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4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4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4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4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5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5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5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5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5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5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5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5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5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5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6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6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6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6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6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6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6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6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6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6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7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7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7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7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7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7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7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7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7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7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8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8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8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8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8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8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8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8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8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8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9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9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3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3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3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3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3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3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3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3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3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3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4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4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4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4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4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4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4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4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4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4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5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5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5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5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5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5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5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5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5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5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6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6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6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6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6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6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6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6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6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6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7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7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7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7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7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7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7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7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7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7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8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8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8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8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8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8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8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8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8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8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9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9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9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9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9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9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9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9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9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9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106.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107.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108.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10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10.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112.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113.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114.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115.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117.xml"/></Relationships>
</file>

<file path=xl/drawings/_rels/drawing118.xml.rels><?xml version="1.0" encoding="UTF-8" standalone="yes"?>
<Relationships xmlns="http://schemas.openxmlformats.org/package/2006/relationships"><Relationship Id="rId1" Type="http://schemas.openxmlformats.org/officeDocument/2006/relationships/chart" Target="../charts/chart118.xml"/></Relationships>
</file>

<file path=xl/drawings/_rels/drawing119.xml.rels><?xml version="1.0" encoding="UTF-8" standalone="yes"?>
<Relationships xmlns="http://schemas.openxmlformats.org/package/2006/relationships"><Relationship Id="rId1" Type="http://schemas.openxmlformats.org/officeDocument/2006/relationships/chart" Target="../charts/chart11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0.xml.rels><?xml version="1.0" encoding="UTF-8" standalone="yes"?>
<Relationships xmlns="http://schemas.openxmlformats.org/package/2006/relationships"><Relationship Id="rId1" Type="http://schemas.openxmlformats.org/officeDocument/2006/relationships/chart" Target="../charts/chart120.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121.xml"/></Relationships>
</file>

<file path=xl/drawings/_rels/drawing122.xml.rels><?xml version="1.0" encoding="UTF-8" standalone="yes"?>
<Relationships xmlns="http://schemas.openxmlformats.org/package/2006/relationships"><Relationship Id="rId1" Type="http://schemas.openxmlformats.org/officeDocument/2006/relationships/chart" Target="../charts/chart122.xml"/></Relationships>
</file>

<file path=xl/drawings/_rels/drawing123.xml.rels><?xml version="1.0" encoding="UTF-8" standalone="yes"?>
<Relationships xmlns="http://schemas.openxmlformats.org/package/2006/relationships"><Relationship Id="rId1" Type="http://schemas.openxmlformats.org/officeDocument/2006/relationships/chart" Target="../charts/chart123.xml"/></Relationships>
</file>

<file path=xl/drawings/_rels/drawing124.xml.rels><?xml version="1.0" encoding="UTF-8" standalone="yes"?>
<Relationships xmlns="http://schemas.openxmlformats.org/package/2006/relationships"><Relationship Id="rId1" Type="http://schemas.openxmlformats.org/officeDocument/2006/relationships/chart" Target="../charts/chart124.xml"/></Relationships>
</file>

<file path=xl/drawings/_rels/drawing125.xml.rels><?xml version="1.0" encoding="UTF-8" standalone="yes"?>
<Relationships xmlns="http://schemas.openxmlformats.org/package/2006/relationships"><Relationship Id="rId1" Type="http://schemas.openxmlformats.org/officeDocument/2006/relationships/chart" Target="../charts/chart125.xml"/></Relationships>
</file>

<file path=xl/drawings/_rels/drawing126.xml.rels><?xml version="1.0" encoding="UTF-8" standalone="yes"?>
<Relationships xmlns="http://schemas.openxmlformats.org/package/2006/relationships"><Relationship Id="rId1" Type="http://schemas.openxmlformats.org/officeDocument/2006/relationships/chart" Target="../charts/chart126.xml"/></Relationships>
</file>

<file path=xl/drawings/_rels/drawing127.xml.rels><?xml version="1.0" encoding="UTF-8" standalone="yes"?>
<Relationships xmlns="http://schemas.openxmlformats.org/package/2006/relationships"><Relationship Id="rId1" Type="http://schemas.openxmlformats.org/officeDocument/2006/relationships/chart" Target="../charts/chart127.xml"/></Relationships>
</file>

<file path=xl/drawings/_rels/drawing128.xml.rels><?xml version="1.0" encoding="UTF-8" standalone="yes"?>
<Relationships xmlns="http://schemas.openxmlformats.org/package/2006/relationships"><Relationship Id="rId1" Type="http://schemas.openxmlformats.org/officeDocument/2006/relationships/chart" Target="../charts/chart128.xml"/></Relationships>
</file>

<file path=xl/drawings/_rels/drawing129.xml.rels><?xml version="1.0" encoding="UTF-8" standalone="yes"?>
<Relationships xmlns="http://schemas.openxmlformats.org/package/2006/relationships"><Relationship Id="rId1" Type="http://schemas.openxmlformats.org/officeDocument/2006/relationships/chart" Target="../charts/chart129.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30.xml.rels><?xml version="1.0" encoding="UTF-8" standalone="yes"?>
<Relationships xmlns="http://schemas.openxmlformats.org/package/2006/relationships"><Relationship Id="rId1" Type="http://schemas.openxmlformats.org/officeDocument/2006/relationships/chart" Target="../charts/chart130.xml"/></Relationships>
</file>

<file path=xl/drawings/_rels/drawing131.xml.rels><?xml version="1.0" encoding="UTF-8" standalone="yes"?>
<Relationships xmlns="http://schemas.openxmlformats.org/package/2006/relationships"><Relationship Id="rId1" Type="http://schemas.openxmlformats.org/officeDocument/2006/relationships/chart" Target="../charts/chart131.xml"/></Relationships>
</file>

<file path=xl/drawings/_rels/drawing132.xml.rels><?xml version="1.0" encoding="UTF-8" standalone="yes"?>
<Relationships xmlns="http://schemas.openxmlformats.org/package/2006/relationships"><Relationship Id="rId1" Type="http://schemas.openxmlformats.org/officeDocument/2006/relationships/chart" Target="../charts/chart132.xml"/></Relationships>
</file>

<file path=xl/drawings/_rels/drawing133.xml.rels><?xml version="1.0" encoding="UTF-8" standalone="yes"?>
<Relationships xmlns="http://schemas.openxmlformats.org/package/2006/relationships"><Relationship Id="rId1" Type="http://schemas.openxmlformats.org/officeDocument/2006/relationships/chart" Target="../charts/chart133.xml"/></Relationships>
</file>

<file path=xl/drawings/_rels/drawing134.xml.rels><?xml version="1.0" encoding="UTF-8" standalone="yes"?>
<Relationships xmlns="http://schemas.openxmlformats.org/package/2006/relationships"><Relationship Id="rId1" Type="http://schemas.openxmlformats.org/officeDocument/2006/relationships/chart" Target="../charts/chart134.xml"/></Relationships>
</file>

<file path=xl/drawings/_rels/drawing135.xml.rels><?xml version="1.0" encoding="UTF-8" standalone="yes"?>
<Relationships xmlns="http://schemas.openxmlformats.org/package/2006/relationships"><Relationship Id="rId1" Type="http://schemas.openxmlformats.org/officeDocument/2006/relationships/chart" Target="../charts/chart135.xml"/></Relationships>
</file>

<file path=xl/drawings/_rels/drawing136.xml.rels><?xml version="1.0" encoding="UTF-8" standalone="yes"?>
<Relationships xmlns="http://schemas.openxmlformats.org/package/2006/relationships"><Relationship Id="rId1" Type="http://schemas.openxmlformats.org/officeDocument/2006/relationships/chart" Target="../charts/chart136.xml"/></Relationships>
</file>

<file path=xl/drawings/_rels/drawing137.xml.rels><?xml version="1.0" encoding="UTF-8" standalone="yes"?>
<Relationships xmlns="http://schemas.openxmlformats.org/package/2006/relationships"><Relationship Id="rId1" Type="http://schemas.openxmlformats.org/officeDocument/2006/relationships/chart" Target="../charts/chart137.xml"/></Relationships>
</file>

<file path=xl/drawings/_rels/drawing138.xml.rels><?xml version="1.0" encoding="UTF-8" standalone="yes"?>
<Relationships xmlns="http://schemas.openxmlformats.org/package/2006/relationships"><Relationship Id="rId1" Type="http://schemas.openxmlformats.org/officeDocument/2006/relationships/chart" Target="../charts/chart138.xml"/></Relationships>
</file>

<file path=xl/drawings/_rels/drawing139.xml.rels><?xml version="1.0" encoding="UTF-8" standalone="yes"?>
<Relationships xmlns="http://schemas.openxmlformats.org/package/2006/relationships"><Relationship Id="rId1" Type="http://schemas.openxmlformats.org/officeDocument/2006/relationships/chart" Target="../charts/chart139.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40.xml.rels><?xml version="1.0" encoding="UTF-8" standalone="yes"?>
<Relationships xmlns="http://schemas.openxmlformats.org/package/2006/relationships"><Relationship Id="rId1" Type="http://schemas.openxmlformats.org/officeDocument/2006/relationships/chart" Target="../charts/chart140.xml"/></Relationships>
</file>

<file path=xl/drawings/_rels/drawing141.xml.rels><?xml version="1.0" encoding="UTF-8" standalone="yes"?>
<Relationships xmlns="http://schemas.openxmlformats.org/package/2006/relationships"><Relationship Id="rId1" Type="http://schemas.openxmlformats.org/officeDocument/2006/relationships/chart" Target="../charts/chart141.xml"/></Relationships>
</file>

<file path=xl/drawings/_rels/drawing142.xml.rels><?xml version="1.0" encoding="UTF-8" standalone="yes"?>
<Relationships xmlns="http://schemas.openxmlformats.org/package/2006/relationships"><Relationship Id="rId1" Type="http://schemas.openxmlformats.org/officeDocument/2006/relationships/chart" Target="../charts/chart142.xml"/></Relationships>
</file>

<file path=xl/drawings/_rels/drawing143.xml.rels><?xml version="1.0" encoding="UTF-8" standalone="yes"?>
<Relationships xmlns="http://schemas.openxmlformats.org/package/2006/relationships"><Relationship Id="rId1" Type="http://schemas.openxmlformats.org/officeDocument/2006/relationships/chart" Target="../charts/chart143.xml"/></Relationships>
</file>

<file path=xl/drawings/_rels/drawing144.xml.rels><?xml version="1.0" encoding="UTF-8" standalone="yes"?>
<Relationships xmlns="http://schemas.openxmlformats.org/package/2006/relationships"><Relationship Id="rId1" Type="http://schemas.openxmlformats.org/officeDocument/2006/relationships/chart" Target="../charts/chart144.xml"/></Relationships>
</file>

<file path=xl/drawings/_rels/drawing145.xml.rels><?xml version="1.0" encoding="UTF-8" standalone="yes"?>
<Relationships xmlns="http://schemas.openxmlformats.org/package/2006/relationships"><Relationship Id="rId1" Type="http://schemas.openxmlformats.org/officeDocument/2006/relationships/chart" Target="../charts/chart145.xml"/></Relationships>
</file>

<file path=xl/drawings/_rels/drawing146.xml.rels><?xml version="1.0" encoding="UTF-8" standalone="yes"?>
<Relationships xmlns="http://schemas.openxmlformats.org/package/2006/relationships"><Relationship Id="rId1" Type="http://schemas.openxmlformats.org/officeDocument/2006/relationships/chart" Target="../charts/chart146.xml"/></Relationships>
</file>

<file path=xl/drawings/_rels/drawing147.xml.rels><?xml version="1.0" encoding="UTF-8" standalone="yes"?>
<Relationships xmlns="http://schemas.openxmlformats.org/package/2006/relationships"><Relationship Id="rId1" Type="http://schemas.openxmlformats.org/officeDocument/2006/relationships/chart" Target="../charts/chart147.xml"/></Relationships>
</file>

<file path=xl/drawings/_rels/drawing148.xml.rels><?xml version="1.0" encoding="UTF-8" standalone="yes"?>
<Relationships xmlns="http://schemas.openxmlformats.org/package/2006/relationships"><Relationship Id="rId1" Type="http://schemas.openxmlformats.org/officeDocument/2006/relationships/chart" Target="../charts/chart148.xml"/></Relationships>
</file>

<file path=xl/drawings/_rels/drawing149.xml.rels><?xml version="1.0" encoding="UTF-8" standalone="yes"?>
<Relationships xmlns="http://schemas.openxmlformats.org/package/2006/relationships"><Relationship Id="rId1" Type="http://schemas.openxmlformats.org/officeDocument/2006/relationships/chart" Target="../charts/chart149.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50.xml.rels><?xml version="1.0" encoding="UTF-8" standalone="yes"?>
<Relationships xmlns="http://schemas.openxmlformats.org/package/2006/relationships"><Relationship Id="rId1" Type="http://schemas.openxmlformats.org/officeDocument/2006/relationships/chart" Target="../charts/chart150.xml"/></Relationships>
</file>

<file path=xl/drawings/_rels/drawing151.xml.rels><?xml version="1.0" encoding="UTF-8" standalone="yes"?>
<Relationships xmlns="http://schemas.openxmlformats.org/package/2006/relationships"><Relationship Id="rId1" Type="http://schemas.openxmlformats.org/officeDocument/2006/relationships/chart" Target="../charts/chart151.xml"/></Relationships>
</file>

<file path=xl/drawings/_rels/drawing152.xml.rels><?xml version="1.0" encoding="UTF-8" standalone="yes"?>
<Relationships xmlns="http://schemas.openxmlformats.org/package/2006/relationships"><Relationship Id="rId1" Type="http://schemas.openxmlformats.org/officeDocument/2006/relationships/chart" Target="../charts/chart152.xml"/></Relationships>
</file>

<file path=xl/drawings/_rels/drawing153.xml.rels><?xml version="1.0" encoding="UTF-8" standalone="yes"?>
<Relationships xmlns="http://schemas.openxmlformats.org/package/2006/relationships"><Relationship Id="rId1" Type="http://schemas.openxmlformats.org/officeDocument/2006/relationships/chart" Target="../charts/chart153.xml"/></Relationships>
</file>

<file path=xl/drawings/_rels/drawing154.xml.rels><?xml version="1.0" encoding="UTF-8" standalone="yes"?>
<Relationships xmlns="http://schemas.openxmlformats.org/package/2006/relationships"><Relationship Id="rId1" Type="http://schemas.openxmlformats.org/officeDocument/2006/relationships/chart" Target="../charts/chart154.xml"/></Relationships>
</file>

<file path=xl/drawings/_rels/drawing155.xml.rels><?xml version="1.0" encoding="UTF-8" standalone="yes"?>
<Relationships xmlns="http://schemas.openxmlformats.org/package/2006/relationships"><Relationship Id="rId1" Type="http://schemas.openxmlformats.org/officeDocument/2006/relationships/chart" Target="../charts/chart155.xml"/></Relationships>
</file>

<file path=xl/drawings/_rels/drawing156.xml.rels><?xml version="1.0" encoding="UTF-8" standalone="yes"?>
<Relationships xmlns="http://schemas.openxmlformats.org/package/2006/relationships"><Relationship Id="rId1" Type="http://schemas.openxmlformats.org/officeDocument/2006/relationships/chart" Target="../charts/chart156.xml"/></Relationships>
</file>

<file path=xl/drawings/_rels/drawing157.xml.rels><?xml version="1.0" encoding="UTF-8" standalone="yes"?>
<Relationships xmlns="http://schemas.openxmlformats.org/package/2006/relationships"><Relationship Id="rId1" Type="http://schemas.openxmlformats.org/officeDocument/2006/relationships/chart" Target="../charts/chart157.xml"/></Relationships>
</file>

<file path=xl/drawings/_rels/drawing158.xml.rels><?xml version="1.0" encoding="UTF-8" standalone="yes"?>
<Relationships xmlns="http://schemas.openxmlformats.org/package/2006/relationships"><Relationship Id="rId1" Type="http://schemas.openxmlformats.org/officeDocument/2006/relationships/chart" Target="../charts/chart158.xml"/></Relationships>
</file>

<file path=xl/drawings/_rels/drawing159.xml.rels><?xml version="1.0" encoding="UTF-8" standalone="yes"?>
<Relationships xmlns="http://schemas.openxmlformats.org/package/2006/relationships"><Relationship Id="rId1" Type="http://schemas.openxmlformats.org/officeDocument/2006/relationships/chart" Target="../charts/chart159.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60.xml.rels><?xml version="1.0" encoding="UTF-8" standalone="yes"?>
<Relationships xmlns="http://schemas.openxmlformats.org/package/2006/relationships"><Relationship Id="rId1" Type="http://schemas.openxmlformats.org/officeDocument/2006/relationships/chart" Target="../charts/chart160.xml"/></Relationships>
</file>

<file path=xl/drawings/_rels/drawing161.xml.rels><?xml version="1.0" encoding="UTF-8" standalone="yes"?>
<Relationships xmlns="http://schemas.openxmlformats.org/package/2006/relationships"><Relationship Id="rId1" Type="http://schemas.openxmlformats.org/officeDocument/2006/relationships/chart" Target="../charts/chart161.xml"/></Relationships>
</file>

<file path=xl/drawings/_rels/drawing162.xml.rels><?xml version="1.0" encoding="UTF-8" standalone="yes"?>
<Relationships xmlns="http://schemas.openxmlformats.org/package/2006/relationships"><Relationship Id="rId1" Type="http://schemas.openxmlformats.org/officeDocument/2006/relationships/chart" Target="../charts/chart162.xml"/></Relationships>
</file>

<file path=xl/drawings/_rels/drawing163.xml.rels><?xml version="1.0" encoding="UTF-8" standalone="yes"?>
<Relationships xmlns="http://schemas.openxmlformats.org/package/2006/relationships"><Relationship Id="rId1" Type="http://schemas.openxmlformats.org/officeDocument/2006/relationships/chart" Target="../charts/chart163.xml"/></Relationships>
</file>

<file path=xl/drawings/_rels/drawing164.xml.rels><?xml version="1.0" encoding="UTF-8" standalone="yes"?>
<Relationships xmlns="http://schemas.openxmlformats.org/package/2006/relationships"><Relationship Id="rId1" Type="http://schemas.openxmlformats.org/officeDocument/2006/relationships/chart" Target="../charts/chart164.xml"/></Relationships>
</file>

<file path=xl/drawings/_rels/drawing165.xml.rels><?xml version="1.0" encoding="UTF-8" standalone="yes"?>
<Relationships xmlns="http://schemas.openxmlformats.org/package/2006/relationships"><Relationship Id="rId1" Type="http://schemas.openxmlformats.org/officeDocument/2006/relationships/chart" Target="../charts/chart165.xml"/></Relationships>
</file>

<file path=xl/drawings/_rels/drawing166.xml.rels><?xml version="1.0" encoding="UTF-8" standalone="yes"?>
<Relationships xmlns="http://schemas.openxmlformats.org/package/2006/relationships"><Relationship Id="rId1" Type="http://schemas.openxmlformats.org/officeDocument/2006/relationships/chart" Target="../charts/chart166.xml"/></Relationships>
</file>

<file path=xl/drawings/_rels/drawing167.xml.rels><?xml version="1.0" encoding="UTF-8" standalone="yes"?>
<Relationships xmlns="http://schemas.openxmlformats.org/package/2006/relationships"><Relationship Id="rId1" Type="http://schemas.openxmlformats.org/officeDocument/2006/relationships/chart" Target="../charts/chart167.xml"/></Relationships>
</file>

<file path=xl/drawings/_rels/drawing168.xml.rels><?xml version="1.0" encoding="UTF-8" standalone="yes"?>
<Relationships xmlns="http://schemas.openxmlformats.org/package/2006/relationships"><Relationship Id="rId1" Type="http://schemas.openxmlformats.org/officeDocument/2006/relationships/chart" Target="../charts/chart168.xml"/></Relationships>
</file>

<file path=xl/drawings/_rels/drawing169.xml.rels><?xml version="1.0" encoding="UTF-8" standalone="yes"?>
<Relationships xmlns="http://schemas.openxmlformats.org/package/2006/relationships"><Relationship Id="rId1" Type="http://schemas.openxmlformats.org/officeDocument/2006/relationships/chart" Target="../charts/chart16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70.xml.rels><?xml version="1.0" encoding="UTF-8" standalone="yes"?>
<Relationships xmlns="http://schemas.openxmlformats.org/package/2006/relationships"><Relationship Id="rId1" Type="http://schemas.openxmlformats.org/officeDocument/2006/relationships/chart" Target="../charts/chart170.xml"/></Relationships>
</file>

<file path=xl/drawings/_rels/drawing171.xml.rels><?xml version="1.0" encoding="UTF-8" standalone="yes"?>
<Relationships xmlns="http://schemas.openxmlformats.org/package/2006/relationships"><Relationship Id="rId1" Type="http://schemas.openxmlformats.org/officeDocument/2006/relationships/chart" Target="../charts/chart171.xml"/></Relationships>
</file>

<file path=xl/drawings/_rels/drawing172.xml.rels><?xml version="1.0" encoding="UTF-8" standalone="yes"?>
<Relationships xmlns="http://schemas.openxmlformats.org/package/2006/relationships"><Relationship Id="rId1" Type="http://schemas.openxmlformats.org/officeDocument/2006/relationships/chart" Target="../charts/chart172.xml"/></Relationships>
</file>

<file path=xl/drawings/_rels/drawing173.xml.rels><?xml version="1.0" encoding="UTF-8" standalone="yes"?>
<Relationships xmlns="http://schemas.openxmlformats.org/package/2006/relationships"><Relationship Id="rId1" Type="http://schemas.openxmlformats.org/officeDocument/2006/relationships/chart" Target="../charts/chart173.xml"/></Relationships>
</file>

<file path=xl/drawings/_rels/drawing174.xml.rels><?xml version="1.0" encoding="UTF-8" standalone="yes"?>
<Relationships xmlns="http://schemas.openxmlformats.org/package/2006/relationships"><Relationship Id="rId1" Type="http://schemas.openxmlformats.org/officeDocument/2006/relationships/chart" Target="../charts/chart174.xml"/></Relationships>
</file>

<file path=xl/drawings/_rels/drawing175.xml.rels><?xml version="1.0" encoding="UTF-8" standalone="yes"?>
<Relationships xmlns="http://schemas.openxmlformats.org/package/2006/relationships"><Relationship Id="rId1" Type="http://schemas.openxmlformats.org/officeDocument/2006/relationships/chart" Target="../charts/chart175.xml"/></Relationships>
</file>

<file path=xl/drawings/_rels/drawing176.xml.rels><?xml version="1.0" encoding="UTF-8" standalone="yes"?>
<Relationships xmlns="http://schemas.openxmlformats.org/package/2006/relationships"><Relationship Id="rId1" Type="http://schemas.openxmlformats.org/officeDocument/2006/relationships/chart" Target="../charts/chart176.xml"/></Relationships>
</file>

<file path=xl/drawings/_rels/drawing177.xml.rels><?xml version="1.0" encoding="UTF-8" standalone="yes"?>
<Relationships xmlns="http://schemas.openxmlformats.org/package/2006/relationships"><Relationship Id="rId1" Type="http://schemas.openxmlformats.org/officeDocument/2006/relationships/chart" Target="../charts/chart177.xml"/></Relationships>
</file>

<file path=xl/drawings/_rels/drawing178.xml.rels><?xml version="1.0" encoding="UTF-8" standalone="yes"?>
<Relationships xmlns="http://schemas.openxmlformats.org/package/2006/relationships"><Relationship Id="rId1" Type="http://schemas.openxmlformats.org/officeDocument/2006/relationships/chart" Target="../charts/chart178.xml"/></Relationships>
</file>

<file path=xl/drawings/_rels/drawing179.xml.rels><?xml version="1.0" encoding="UTF-8" standalone="yes"?>
<Relationships xmlns="http://schemas.openxmlformats.org/package/2006/relationships"><Relationship Id="rId1" Type="http://schemas.openxmlformats.org/officeDocument/2006/relationships/chart" Target="../charts/chart17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80.xml.rels><?xml version="1.0" encoding="UTF-8" standalone="yes"?>
<Relationships xmlns="http://schemas.openxmlformats.org/package/2006/relationships"><Relationship Id="rId1" Type="http://schemas.openxmlformats.org/officeDocument/2006/relationships/chart" Target="../charts/chart180.xml"/></Relationships>
</file>

<file path=xl/drawings/_rels/drawing181.xml.rels><?xml version="1.0" encoding="UTF-8" standalone="yes"?>
<Relationships xmlns="http://schemas.openxmlformats.org/package/2006/relationships"><Relationship Id="rId1" Type="http://schemas.openxmlformats.org/officeDocument/2006/relationships/chart" Target="../charts/chart181.xml"/></Relationships>
</file>

<file path=xl/drawings/_rels/drawing182.xml.rels><?xml version="1.0" encoding="UTF-8" standalone="yes"?>
<Relationships xmlns="http://schemas.openxmlformats.org/package/2006/relationships"><Relationship Id="rId1" Type="http://schemas.openxmlformats.org/officeDocument/2006/relationships/chart" Target="../charts/chart182.xml"/></Relationships>
</file>

<file path=xl/drawings/_rels/drawing183.xml.rels><?xml version="1.0" encoding="UTF-8" standalone="yes"?>
<Relationships xmlns="http://schemas.openxmlformats.org/package/2006/relationships"><Relationship Id="rId1" Type="http://schemas.openxmlformats.org/officeDocument/2006/relationships/chart" Target="../charts/chart183.xml"/></Relationships>
</file>

<file path=xl/drawings/_rels/drawing184.xml.rels><?xml version="1.0" encoding="UTF-8" standalone="yes"?>
<Relationships xmlns="http://schemas.openxmlformats.org/package/2006/relationships"><Relationship Id="rId1" Type="http://schemas.openxmlformats.org/officeDocument/2006/relationships/chart" Target="../charts/chart184.xml"/></Relationships>
</file>

<file path=xl/drawings/_rels/drawing185.xml.rels><?xml version="1.0" encoding="UTF-8" standalone="yes"?>
<Relationships xmlns="http://schemas.openxmlformats.org/package/2006/relationships"><Relationship Id="rId1" Type="http://schemas.openxmlformats.org/officeDocument/2006/relationships/chart" Target="../charts/chart185.xml"/></Relationships>
</file>

<file path=xl/drawings/_rels/drawing186.xml.rels><?xml version="1.0" encoding="UTF-8" standalone="yes"?>
<Relationships xmlns="http://schemas.openxmlformats.org/package/2006/relationships"><Relationship Id="rId1" Type="http://schemas.openxmlformats.org/officeDocument/2006/relationships/chart" Target="../charts/chart186.xml"/></Relationships>
</file>

<file path=xl/drawings/_rels/drawing187.xml.rels><?xml version="1.0" encoding="UTF-8" standalone="yes"?>
<Relationships xmlns="http://schemas.openxmlformats.org/package/2006/relationships"><Relationship Id="rId1" Type="http://schemas.openxmlformats.org/officeDocument/2006/relationships/chart" Target="../charts/chart187.xml"/></Relationships>
</file>

<file path=xl/drawings/_rels/drawing188.xml.rels><?xml version="1.0" encoding="UTF-8" standalone="yes"?>
<Relationships xmlns="http://schemas.openxmlformats.org/package/2006/relationships"><Relationship Id="rId1" Type="http://schemas.openxmlformats.org/officeDocument/2006/relationships/chart" Target="../charts/chart188.xml"/></Relationships>
</file>

<file path=xl/drawings/_rels/drawing189.xml.rels><?xml version="1.0" encoding="UTF-8" standalone="yes"?>
<Relationships xmlns="http://schemas.openxmlformats.org/package/2006/relationships"><Relationship Id="rId1" Type="http://schemas.openxmlformats.org/officeDocument/2006/relationships/chart" Target="../charts/chart18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90.xml.rels><?xml version="1.0" encoding="UTF-8" standalone="yes"?>
<Relationships xmlns="http://schemas.openxmlformats.org/package/2006/relationships"><Relationship Id="rId1" Type="http://schemas.openxmlformats.org/officeDocument/2006/relationships/chart" Target="../charts/chart190.xml"/></Relationships>
</file>

<file path=xl/drawings/_rels/drawing191.xml.rels><?xml version="1.0" encoding="UTF-8" standalone="yes"?>
<Relationships xmlns="http://schemas.openxmlformats.org/package/2006/relationships"><Relationship Id="rId1" Type="http://schemas.openxmlformats.org/officeDocument/2006/relationships/chart" Target="../charts/chart191.xml"/></Relationships>
</file>

<file path=xl/drawings/_rels/drawing192.xml.rels><?xml version="1.0" encoding="UTF-8" standalone="yes"?>
<Relationships xmlns="http://schemas.openxmlformats.org/package/2006/relationships"><Relationship Id="rId1" Type="http://schemas.openxmlformats.org/officeDocument/2006/relationships/chart" Target="../charts/chart192.xml"/></Relationships>
</file>

<file path=xl/drawings/_rels/drawing193.xml.rels><?xml version="1.0" encoding="UTF-8" standalone="yes"?>
<Relationships xmlns="http://schemas.openxmlformats.org/package/2006/relationships"><Relationship Id="rId1" Type="http://schemas.openxmlformats.org/officeDocument/2006/relationships/chart" Target="../charts/chart193.xml"/></Relationships>
</file>

<file path=xl/drawings/_rels/drawing194.xml.rels><?xml version="1.0" encoding="UTF-8" standalone="yes"?>
<Relationships xmlns="http://schemas.openxmlformats.org/package/2006/relationships"><Relationship Id="rId1" Type="http://schemas.openxmlformats.org/officeDocument/2006/relationships/chart" Target="../charts/chart194.xml"/></Relationships>
</file>

<file path=xl/drawings/_rels/drawing195.xml.rels><?xml version="1.0" encoding="UTF-8" standalone="yes"?>
<Relationships xmlns="http://schemas.openxmlformats.org/package/2006/relationships"><Relationship Id="rId1" Type="http://schemas.openxmlformats.org/officeDocument/2006/relationships/chart" Target="../charts/chart195.xml"/></Relationships>
</file>

<file path=xl/drawings/_rels/drawing196.xml.rels><?xml version="1.0" encoding="UTF-8" standalone="yes"?>
<Relationships xmlns="http://schemas.openxmlformats.org/package/2006/relationships"><Relationship Id="rId1" Type="http://schemas.openxmlformats.org/officeDocument/2006/relationships/chart" Target="../charts/chart196.xml"/></Relationships>
</file>

<file path=xl/drawings/_rels/drawing197.xml.rels><?xml version="1.0" encoding="UTF-8" standalone="yes"?>
<Relationships xmlns="http://schemas.openxmlformats.org/package/2006/relationships"><Relationship Id="rId1" Type="http://schemas.openxmlformats.org/officeDocument/2006/relationships/chart" Target="../charts/chart197.xml"/></Relationships>
</file>

<file path=xl/drawings/_rels/drawing198.xml.rels><?xml version="1.0" encoding="UTF-8" standalone="yes"?>
<Relationships xmlns="http://schemas.openxmlformats.org/package/2006/relationships"><Relationship Id="rId1" Type="http://schemas.openxmlformats.org/officeDocument/2006/relationships/chart" Target="../charts/chart198.xml"/></Relationships>
</file>

<file path=xl/drawings/_rels/drawing199.xml.rels><?xml version="1.0" encoding="UTF-8" standalone="yes"?>
<Relationships xmlns="http://schemas.openxmlformats.org/package/2006/relationships"><Relationship Id="rId1" Type="http://schemas.openxmlformats.org/officeDocument/2006/relationships/chart" Target="../charts/chart19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00.xml.rels><?xml version="1.0" encoding="UTF-8" standalone="yes"?>
<Relationships xmlns="http://schemas.openxmlformats.org/package/2006/relationships"><Relationship Id="rId1" Type="http://schemas.openxmlformats.org/officeDocument/2006/relationships/chart" Target="../charts/chart200.xml"/></Relationships>
</file>

<file path=xl/drawings/_rels/drawing201.xml.rels><?xml version="1.0" encoding="UTF-8" standalone="yes"?>
<Relationships xmlns="http://schemas.openxmlformats.org/package/2006/relationships"><Relationship Id="rId1" Type="http://schemas.openxmlformats.org/officeDocument/2006/relationships/chart" Target="../charts/chart201.xml"/></Relationships>
</file>

<file path=xl/drawings/_rels/drawing202.xml.rels><?xml version="1.0" encoding="UTF-8" standalone="yes"?>
<Relationships xmlns="http://schemas.openxmlformats.org/package/2006/relationships"><Relationship Id="rId1" Type="http://schemas.openxmlformats.org/officeDocument/2006/relationships/chart" Target="../charts/chart202.xml"/></Relationships>
</file>

<file path=xl/drawings/_rels/drawing203.xml.rels><?xml version="1.0" encoding="UTF-8" standalone="yes"?>
<Relationships xmlns="http://schemas.openxmlformats.org/package/2006/relationships"><Relationship Id="rId1" Type="http://schemas.openxmlformats.org/officeDocument/2006/relationships/chart" Target="../charts/chart203.xml"/></Relationships>
</file>

<file path=xl/drawings/_rels/drawing204.xml.rels><?xml version="1.0" encoding="UTF-8" standalone="yes"?>
<Relationships xmlns="http://schemas.openxmlformats.org/package/2006/relationships"><Relationship Id="rId1" Type="http://schemas.openxmlformats.org/officeDocument/2006/relationships/chart" Target="../charts/chart204.xml"/></Relationships>
</file>

<file path=xl/drawings/_rels/drawing205.xml.rels><?xml version="1.0" encoding="UTF-8" standalone="yes"?>
<Relationships xmlns="http://schemas.openxmlformats.org/package/2006/relationships"><Relationship Id="rId1" Type="http://schemas.openxmlformats.org/officeDocument/2006/relationships/chart" Target="../charts/chart205.xml"/></Relationships>
</file>

<file path=xl/drawings/_rels/drawing206.xml.rels><?xml version="1.0" encoding="UTF-8" standalone="yes"?>
<Relationships xmlns="http://schemas.openxmlformats.org/package/2006/relationships"><Relationship Id="rId1" Type="http://schemas.openxmlformats.org/officeDocument/2006/relationships/chart" Target="../charts/chart206.xml"/></Relationships>
</file>

<file path=xl/drawings/_rels/drawing207.xml.rels><?xml version="1.0" encoding="UTF-8" standalone="yes"?>
<Relationships xmlns="http://schemas.openxmlformats.org/package/2006/relationships"><Relationship Id="rId1" Type="http://schemas.openxmlformats.org/officeDocument/2006/relationships/chart" Target="../charts/chart207.xml"/></Relationships>
</file>

<file path=xl/drawings/_rels/drawing208.xml.rels><?xml version="1.0" encoding="UTF-8" standalone="yes"?>
<Relationships xmlns="http://schemas.openxmlformats.org/package/2006/relationships"><Relationship Id="rId1" Type="http://schemas.openxmlformats.org/officeDocument/2006/relationships/chart" Target="../charts/chart208.xml"/></Relationships>
</file>

<file path=xl/drawings/_rels/drawing209.xml.rels><?xml version="1.0" encoding="UTF-8" standalone="yes"?>
<Relationships xmlns="http://schemas.openxmlformats.org/package/2006/relationships"><Relationship Id="rId1" Type="http://schemas.openxmlformats.org/officeDocument/2006/relationships/chart" Target="../charts/chart209.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10.xml.rels><?xml version="1.0" encoding="UTF-8" standalone="yes"?>
<Relationships xmlns="http://schemas.openxmlformats.org/package/2006/relationships"><Relationship Id="rId1" Type="http://schemas.openxmlformats.org/officeDocument/2006/relationships/chart" Target="../charts/chart210.xml"/></Relationships>
</file>

<file path=xl/drawings/_rels/drawing211.xml.rels><?xml version="1.0" encoding="UTF-8" standalone="yes"?>
<Relationships xmlns="http://schemas.openxmlformats.org/package/2006/relationships"><Relationship Id="rId1" Type="http://schemas.openxmlformats.org/officeDocument/2006/relationships/chart" Target="../charts/chart211.xml"/></Relationships>
</file>

<file path=xl/drawings/_rels/drawing212.xml.rels><?xml version="1.0" encoding="UTF-8" standalone="yes"?>
<Relationships xmlns="http://schemas.openxmlformats.org/package/2006/relationships"><Relationship Id="rId1" Type="http://schemas.openxmlformats.org/officeDocument/2006/relationships/chart" Target="../charts/chart212.xml"/></Relationships>
</file>

<file path=xl/drawings/_rels/drawing213.xml.rels><?xml version="1.0" encoding="UTF-8" standalone="yes"?>
<Relationships xmlns="http://schemas.openxmlformats.org/package/2006/relationships"><Relationship Id="rId1" Type="http://schemas.openxmlformats.org/officeDocument/2006/relationships/chart" Target="../charts/chart213.xml"/></Relationships>
</file>

<file path=xl/drawings/_rels/drawing214.xml.rels><?xml version="1.0" encoding="UTF-8" standalone="yes"?>
<Relationships xmlns="http://schemas.openxmlformats.org/package/2006/relationships"><Relationship Id="rId1" Type="http://schemas.openxmlformats.org/officeDocument/2006/relationships/chart" Target="../charts/chart214.xml"/></Relationships>
</file>

<file path=xl/drawings/_rels/drawing215.xml.rels><?xml version="1.0" encoding="UTF-8" standalone="yes"?>
<Relationships xmlns="http://schemas.openxmlformats.org/package/2006/relationships"><Relationship Id="rId1" Type="http://schemas.openxmlformats.org/officeDocument/2006/relationships/chart" Target="../charts/chart215.xml"/></Relationships>
</file>

<file path=xl/drawings/_rels/drawing216.xml.rels><?xml version="1.0" encoding="UTF-8" standalone="yes"?>
<Relationships xmlns="http://schemas.openxmlformats.org/package/2006/relationships"><Relationship Id="rId1" Type="http://schemas.openxmlformats.org/officeDocument/2006/relationships/chart" Target="../charts/chart216.xml"/></Relationships>
</file>

<file path=xl/drawings/_rels/drawing217.xml.rels><?xml version="1.0" encoding="UTF-8" standalone="yes"?>
<Relationships xmlns="http://schemas.openxmlformats.org/package/2006/relationships"><Relationship Id="rId1" Type="http://schemas.openxmlformats.org/officeDocument/2006/relationships/chart" Target="../charts/chart217.xml"/></Relationships>
</file>

<file path=xl/drawings/_rels/drawing218.xml.rels><?xml version="1.0" encoding="UTF-8" standalone="yes"?>
<Relationships xmlns="http://schemas.openxmlformats.org/package/2006/relationships"><Relationship Id="rId1" Type="http://schemas.openxmlformats.org/officeDocument/2006/relationships/chart" Target="../charts/chart218.xml"/></Relationships>
</file>

<file path=xl/drawings/_rels/drawing219.xml.rels><?xml version="1.0" encoding="UTF-8" standalone="yes"?>
<Relationships xmlns="http://schemas.openxmlformats.org/package/2006/relationships"><Relationship Id="rId1" Type="http://schemas.openxmlformats.org/officeDocument/2006/relationships/chart" Target="../charts/chart219.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20.xml.rels><?xml version="1.0" encoding="UTF-8" standalone="yes"?>
<Relationships xmlns="http://schemas.openxmlformats.org/package/2006/relationships"><Relationship Id="rId1" Type="http://schemas.openxmlformats.org/officeDocument/2006/relationships/chart" Target="../charts/chart220.xml"/></Relationships>
</file>

<file path=xl/drawings/_rels/drawing221.xml.rels><?xml version="1.0" encoding="UTF-8" standalone="yes"?>
<Relationships xmlns="http://schemas.openxmlformats.org/package/2006/relationships"><Relationship Id="rId1" Type="http://schemas.openxmlformats.org/officeDocument/2006/relationships/chart" Target="../charts/chart221.xml"/></Relationships>
</file>

<file path=xl/drawings/_rels/drawing222.xml.rels><?xml version="1.0" encoding="UTF-8" standalone="yes"?>
<Relationships xmlns="http://schemas.openxmlformats.org/package/2006/relationships"><Relationship Id="rId1" Type="http://schemas.openxmlformats.org/officeDocument/2006/relationships/chart" Target="../charts/chart222.xml"/></Relationships>
</file>

<file path=xl/drawings/_rels/drawing223.xml.rels><?xml version="1.0" encoding="UTF-8" standalone="yes"?>
<Relationships xmlns="http://schemas.openxmlformats.org/package/2006/relationships"><Relationship Id="rId1" Type="http://schemas.openxmlformats.org/officeDocument/2006/relationships/chart" Target="../charts/chart223.xml"/></Relationships>
</file>

<file path=xl/drawings/_rels/drawing224.xml.rels><?xml version="1.0" encoding="UTF-8" standalone="yes"?>
<Relationships xmlns="http://schemas.openxmlformats.org/package/2006/relationships"><Relationship Id="rId1" Type="http://schemas.openxmlformats.org/officeDocument/2006/relationships/chart" Target="../charts/chart224.xml"/></Relationships>
</file>

<file path=xl/drawings/_rels/drawing225.xml.rels><?xml version="1.0" encoding="UTF-8" standalone="yes"?>
<Relationships xmlns="http://schemas.openxmlformats.org/package/2006/relationships"><Relationship Id="rId1" Type="http://schemas.openxmlformats.org/officeDocument/2006/relationships/chart" Target="../charts/chart225.xml"/></Relationships>
</file>

<file path=xl/drawings/_rels/drawing226.xml.rels><?xml version="1.0" encoding="UTF-8" standalone="yes"?>
<Relationships xmlns="http://schemas.openxmlformats.org/package/2006/relationships"><Relationship Id="rId1" Type="http://schemas.openxmlformats.org/officeDocument/2006/relationships/chart" Target="../charts/chart226.xml"/></Relationships>
</file>

<file path=xl/drawings/_rels/drawing227.xml.rels><?xml version="1.0" encoding="UTF-8" standalone="yes"?>
<Relationships xmlns="http://schemas.openxmlformats.org/package/2006/relationships"><Relationship Id="rId1" Type="http://schemas.openxmlformats.org/officeDocument/2006/relationships/chart" Target="../charts/chart227.xml"/></Relationships>
</file>

<file path=xl/drawings/_rels/drawing228.xml.rels><?xml version="1.0" encoding="UTF-8" standalone="yes"?>
<Relationships xmlns="http://schemas.openxmlformats.org/package/2006/relationships"><Relationship Id="rId1" Type="http://schemas.openxmlformats.org/officeDocument/2006/relationships/chart" Target="../charts/chart228.xml"/></Relationships>
</file>

<file path=xl/drawings/_rels/drawing229.xml.rels><?xml version="1.0" encoding="UTF-8" standalone="yes"?>
<Relationships xmlns="http://schemas.openxmlformats.org/package/2006/relationships"><Relationship Id="rId1" Type="http://schemas.openxmlformats.org/officeDocument/2006/relationships/chart" Target="../charts/chart229.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30.xml.rels><?xml version="1.0" encoding="UTF-8" standalone="yes"?>
<Relationships xmlns="http://schemas.openxmlformats.org/package/2006/relationships"><Relationship Id="rId1" Type="http://schemas.openxmlformats.org/officeDocument/2006/relationships/chart" Target="../charts/chart230.xml"/></Relationships>
</file>

<file path=xl/drawings/_rels/drawing231.xml.rels><?xml version="1.0" encoding="UTF-8" standalone="yes"?>
<Relationships xmlns="http://schemas.openxmlformats.org/package/2006/relationships"><Relationship Id="rId1" Type="http://schemas.openxmlformats.org/officeDocument/2006/relationships/chart" Target="../charts/chart231.xml"/></Relationships>
</file>

<file path=xl/drawings/_rels/drawing232.xml.rels><?xml version="1.0" encoding="UTF-8" standalone="yes"?>
<Relationships xmlns="http://schemas.openxmlformats.org/package/2006/relationships"><Relationship Id="rId1" Type="http://schemas.openxmlformats.org/officeDocument/2006/relationships/chart" Target="../charts/chart232.xml"/></Relationships>
</file>

<file path=xl/drawings/_rels/drawing233.xml.rels><?xml version="1.0" encoding="UTF-8" standalone="yes"?>
<Relationships xmlns="http://schemas.openxmlformats.org/package/2006/relationships"><Relationship Id="rId1" Type="http://schemas.openxmlformats.org/officeDocument/2006/relationships/chart" Target="../charts/chart233.xml"/></Relationships>
</file>

<file path=xl/drawings/_rels/drawing234.xml.rels><?xml version="1.0" encoding="UTF-8" standalone="yes"?>
<Relationships xmlns="http://schemas.openxmlformats.org/package/2006/relationships"><Relationship Id="rId1" Type="http://schemas.openxmlformats.org/officeDocument/2006/relationships/chart" Target="../charts/chart234.xml"/></Relationships>
</file>

<file path=xl/drawings/_rels/drawing235.xml.rels><?xml version="1.0" encoding="UTF-8" standalone="yes"?>
<Relationships xmlns="http://schemas.openxmlformats.org/package/2006/relationships"><Relationship Id="rId1" Type="http://schemas.openxmlformats.org/officeDocument/2006/relationships/chart" Target="../charts/chart235.xml"/></Relationships>
</file>

<file path=xl/drawings/_rels/drawing236.xml.rels><?xml version="1.0" encoding="UTF-8" standalone="yes"?>
<Relationships xmlns="http://schemas.openxmlformats.org/package/2006/relationships"><Relationship Id="rId1" Type="http://schemas.openxmlformats.org/officeDocument/2006/relationships/chart" Target="../charts/chart236.xml"/></Relationships>
</file>

<file path=xl/drawings/_rels/drawing237.xml.rels><?xml version="1.0" encoding="UTF-8" standalone="yes"?>
<Relationships xmlns="http://schemas.openxmlformats.org/package/2006/relationships"><Relationship Id="rId1" Type="http://schemas.openxmlformats.org/officeDocument/2006/relationships/chart" Target="../charts/chart237.xml"/></Relationships>
</file>

<file path=xl/drawings/_rels/drawing238.xml.rels><?xml version="1.0" encoding="UTF-8" standalone="yes"?>
<Relationships xmlns="http://schemas.openxmlformats.org/package/2006/relationships"><Relationship Id="rId1" Type="http://schemas.openxmlformats.org/officeDocument/2006/relationships/chart" Target="../charts/chart238.xml"/></Relationships>
</file>

<file path=xl/drawings/_rels/drawing239.xml.rels><?xml version="1.0" encoding="UTF-8" standalone="yes"?>
<Relationships xmlns="http://schemas.openxmlformats.org/package/2006/relationships"><Relationship Id="rId1" Type="http://schemas.openxmlformats.org/officeDocument/2006/relationships/chart" Target="../charts/chart239.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40.xml.rels><?xml version="1.0" encoding="UTF-8" standalone="yes"?>
<Relationships xmlns="http://schemas.openxmlformats.org/package/2006/relationships"><Relationship Id="rId1" Type="http://schemas.openxmlformats.org/officeDocument/2006/relationships/chart" Target="../charts/chart240.xml"/></Relationships>
</file>

<file path=xl/drawings/_rels/drawing241.xml.rels><?xml version="1.0" encoding="UTF-8" standalone="yes"?>
<Relationships xmlns="http://schemas.openxmlformats.org/package/2006/relationships"><Relationship Id="rId1" Type="http://schemas.openxmlformats.org/officeDocument/2006/relationships/chart" Target="../charts/chart241.xml"/></Relationships>
</file>

<file path=xl/drawings/_rels/drawing242.xml.rels><?xml version="1.0" encoding="UTF-8" standalone="yes"?>
<Relationships xmlns="http://schemas.openxmlformats.org/package/2006/relationships"><Relationship Id="rId1" Type="http://schemas.openxmlformats.org/officeDocument/2006/relationships/chart" Target="../charts/chart242.xml"/></Relationships>
</file>

<file path=xl/drawings/_rels/drawing243.xml.rels><?xml version="1.0" encoding="UTF-8" standalone="yes"?>
<Relationships xmlns="http://schemas.openxmlformats.org/package/2006/relationships"><Relationship Id="rId1" Type="http://schemas.openxmlformats.org/officeDocument/2006/relationships/chart" Target="../charts/chart243.xml"/></Relationships>
</file>

<file path=xl/drawings/_rels/drawing244.xml.rels><?xml version="1.0" encoding="UTF-8" standalone="yes"?>
<Relationships xmlns="http://schemas.openxmlformats.org/package/2006/relationships"><Relationship Id="rId1" Type="http://schemas.openxmlformats.org/officeDocument/2006/relationships/chart" Target="../charts/chart244.xml"/></Relationships>
</file>

<file path=xl/drawings/_rels/drawing245.xml.rels><?xml version="1.0" encoding="UTF-8" standalone="yes"?>
<Relationships xmlns="http://schemas.openxmlformats.org/package/2006/relationships"><Relationship Id="rId1" Type="http://schemas.openxmlformats.org/officeDocument/2006/relationships/chart" Target="../charts/chart245.xml"/></Relationships>
</file>

<file path=xl/drawings/_rels/drawing246.xml.rels><?xml version="1.0" encoding="UTF-8" standalone="yes"?>
<Relationships xmlns="http://schemas.openxmlformats.org/package/2006/relationships"><Relationship Id="rId1" Type="http://schemas.openxmlformats.org/officeDocument/2006/relationships/chart" Target="../charts/chart246.xml"/></Relationships>
</file>

<file path=xl/drawings/_rels/drawing247.xml.rels><?xml version="1.0" encoding="UTF-8" standalone="yes"?>
<Relationships xmlns="http://schemas.openxmlformats.org/package/2006/relationships"><Relationship Id="rId1" Type="http://schemas.openxmlformats.org/officeDocument/2006/relationships/chart" Target="../charts/chart247.xml"/></Relationships>
</file>

<file path=xl/drawings/_rels/drawing248.xml.rels><?xml version="1.0" encoding="UTF-8" standalone="yes"?>
<Relationships xmlns="http://schemas.openxmlformats.org/package/2006/relationships"><Relationship Id="rId1" Type="http://schemas.openxmlformats.org/officeDocument/2006/relationships/chart" Target="../charts/chart248.xml"/></Relationships>
</file>

<file path=xl/drawings/_rels/drawing249.xml.rels><?xml version="1.0" encoding="UTF-8" standalone="yes"?>
<Relationships xmlns="http://schemas.openxmlformats.org/package/2006/relationships"><Relationship Id="rId1" Type="http://schemas.openxmlformats.org/officeDocument/2006/relationships/chart" Target="../charts/chart249.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50.xml.rels><?xml version="1.0" encoding="UTF-8" standalone="yes"?>
<Relationships xmlns="http://schemas.openxmlformats.org/package/2006/relationships"><Relationship Id="rId1" Type="http://schemas.openxmlformats.org/officeDocument/2006/relationships/chart" Target="../charts/chart250.xml"/></Relationships>
</file>

<file path=xl/drawings/_rels/drawing251.xml.rels><?xml version="1.0" encoding="UTF-8" standalone="yes"?>
<Relationships xmlns="http://schemas.openxmlformats.org/package/2006/relationships"><Relationship Id="rId1" Type="http://schemas.openxmlformats.org/officeDocument/2006/relationships/chart" Target="../charts/chart251.xml"/></Relationships>
</file>

<file path=xl/drawings/_rels/drawing252.xml.rels><?xml version="1.0" encoding="UTF-8" standalone="yes"?>
<Relationships xmlns="http://schemas.openxmlformats.org/package/2006/relationships"><Relationship Id="rId1" Type="http://schemas.openxmlformats.org/officeDocument/2006/relationships/chart" Target="../charts/chart252.xml"/></Relationships>
</file>

<file path=xl/drawings/_rels/drawing253.xml.rels><?xml version="1.0" encoding="UTF-8" standalone="yes"?>
<Relationships xmlns="http://schemas.openxmlformats.org/package/2006/relationships"><Relationship Id="rId1" Type="http://schemas.openxmlformats.org/officeDocument/2006/relationships/chart" Target="../charts/chart253.xml"/></Relationships>
</file>

<file path=xl/drawings/_rels/drawing254.xml.rels><?xml version="1.0" encoding="UTF-8" standalone="yes"?>
<Relationships xmlns="http://schemas.openxmlformats.org/package/2006/relationships"><Relationship Id="rId1" Type="http://schemas.openxmlformats.org/officeDocument/2006/relationships/chart" Target="../charts/chart254.xml"/></Relationships>
</file>

<file path=xl/drawings/_rels/drawing255.xml.rels><?xml version="1.0" encoding="UTF-8" standalone="yes"?>
<Relationships xmlns="http://schemas.openxmlformats.org/package/2006/relationships"><Relationship Id="rId1" Type="http://schemas.openxmlformats.org/officeDocument/2006/relationships/chart" Target="../charts/chart255.xml"/></Relationships>
</file>

<file path=xl/drawings/_rels/drawing256.xml.rels><?xml version="1.0" encoding="UTF-8" standalone="yes"?>
<Relationships xmlns="http://schemas.openxmlformats.org/package/2006/relationships"><Relationship Id="rId1" Type="http://schemas.openxmlformats.org/officeDocument/2006/relationships/chart" Target="../charts/chart256.xml"/></Relationships>
</file>

<file path=xl/drawings/_rels/drawing257.xml.rels><?xml version="1.0" encoding="UTF-8" standalone="yes"?>
<Relationships xmlns="http://schemas.openxmlformats.org/package/2006/relationships"><Relationship Id="rId1" Type="http://schemas.openxmlformats.org/officeDocument/2006/relationships/chart" Target="../charts/chart257.xml"/></Relationships>
</file>

<file path=xl/drawings/_rels/drawing258.xml.rels><?xml version="1.0" encoding="UTF-8" standalone="yes"?>
<Relationships xmlns="http://schemas.openxmlformats.org/package/2006/relationships"><Relationship Id="rId1" Type="http://schemas.openxmlformats.org/officeDocument/2006/relationships/chart" Target="../charts/chart258.xml"/></Relationships>
</file>

<file path=xl/drawings/_rels/drawing259.xml.rels><?xml version="1.0" encoding="UTF-8" standalone="yes"?>
<Relationships xmlns="http://schemas.openxmlformats.org/package/2006/relationships"><Relationship Id="rId1" Type="http://schemas.openxmlformats.org/officeDocument/2006/relationships/chart" Target="../charts/chart25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60.xml.rels><?xml version="1.0" encoding="UTF-8" standalone="yes"?>
<Relationships xmlns="http://schemas.openxmlformats.org/package/2006/relationships"><Relationship Id="rId1" Type="http://schemas.openxmlformats.org/officeDocument/2006/relationships/chart" Target="../charts/chart260.xml"/></Relationships>
</file>

<file path=xl/drawings/_rels/drawing261.xml.rels><?xml version="1.0" encoding="UTF-8" standalone="yes"?>
<Relationships xmlns="http://schemas.openxmlformats.org/package/2006/relationships"><Relationship Id="rId1" Type="http://schemas.openxmlformats.org/officeDocument/2006/relationships/chart" Target="../charts/chart261.xml"/></Relationships>
</file>

<file path=xl/drawings/_rels/drawing262.xml.rels><?xml version="1.0" encoding="UTF-8" standalone="yes"?>
<Relationships xmlns="http://schemas.openxmlformats.org/package/2006/relationships"><Relationship Id="rId1" Type="http://schemas.openxmlformats.org/officeDocument/2006/relationships/chart" Target="../charts/chart262.xml"/></Relationships>
</file>

<file path=xl/drawings/_rels/drawing263.xml.rels><?xml version="1.0" encoding="UTF-8" standalone="yes"?>
<Relationships xmlns="http://schemas.openxmlformats.org/package/2006/relationships"><Relationship Id="rId1" Type="http://schemas.openxmlformats.org/officeDocument/2006/relationships/chart" Target="../charts/chart263.xml"/></Relationships>
</file>

<file path=xl/drawings/_rels/drawing264.xml.rels><?xml version="1.0" encoding="UTF-8" standalone="yes"?>
<Relationships xmlns="http://schemas.openxmlformats.org/package/2006/relationships"><Relationship Id="rId1" Type="http://schemas.openxmlformats.org/officeDocument/2006/relationships/chart" Target="../charts/chart264.xml"/></Relationships>
</file>

<file path=xl/drawings/_rels/drawing265.xml.rels><?xml version="1.0" encoding="UTF-8" standalone="yes"?>
<Relationships xmlns="http://schemas.openxmlformats.org/package/2006/relationships"><Relationship Id="rId1" Type="http://schemas.openxmlformats.org/officeDocument/2006/relationships/chart" Target="../charts/chart265.xml"/></Relationships>
</file>

<file path=xl/drawings/_rels/drawing266.xml.rels><?xml version="1.0" encoding="UTF-8" standalone="yes"?>
<Relationships xmlns="http://schemas.openxmlformats.org/package/2006/relationships"><Relationship Id="rId1" Type="http://schemas.openxmlformats.org/officeDocument/2006/relationships/chart" Target="../charts/chart266.xml"/></Relationships>
</file>

<file path=xl/drawings/_rels/drawing267.xml.rels><?xml version="1.0" encoding="UTF-8" standalone="yes"?>
<Relationships xmlns="http://schemas.openxmlformats.org/package/2006/relationships"><Relationship Id="rId1" Type="http://schemas.openxmlformats.org/officeDocument/2006/relationships/chart" Target="../charts/chart267.xml"/></Relationships>
</file>

<file path=xl/drawings/_rels/drawing268.xml.rels><?xml version="1.0" encoding="UTF-8" standalone="yes"?>
<Relationships xmlns="http://schemas.openxmlformats.org/package/2006/relationships"><Relationship Id="rId1" Type="http://schemas.openxmlformats.org/officeDocument/2006/relationships/chart" Target="../charts/chart268.xml"/></Relationships>
</file>

<file path=xl/drawings/_rels/drawing269.xml.rels><?xml version="1.0" encoding="UTF-8" standalone="yes"?>
<Relationships xmlns="http://schemas.openxmlformats.org/package/2006/relationships"><Relationship Id="rId1" Type="http://schemas.openxmlformats.org/officeDocument/2006/relationships/chart" Target="../charts/chart269.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70.xml.rels><?xml version="1.0" encoding="UTF-8" standalone="yes"?>
<Relationships xmlns="http://schemas.openxmlformats.org/package/2006/relationships"><Relationship Id="rId1" Type="http://schemas.openxmlformats.org/officeDocument/2006/relationships/chart" Target="../charts/chart270.xml"/></Relationships>
</file>

<file path=xl/drawings/_rels/drawing271.xml.rels><?xml version="1.0" encoding="UTF-8" standalone="yes"?>
<Relationships xmlns="http://schemas.openxmlformats.org/package/2006/relationships"><Relationship Id="rId1" Type="http://schemas.openxmlformats.org/officeDocument/2006/relationships/chart" Target="../charts/chart271.xml"/></Relationships>
</file>

<file path=xl/drawings/_rels/drawing272.xml.rels><?xml version="1.0" encoding="UTF-8" standalone="yes"?>
<Relationships xmlns="http://schemas.openxmlformats.org/package/2006/relationships"><Relationship Id="rId1" Type="http://schemas.openxmlformats.org/officeDocument/2006/relationships/chart" Target="../charts/chart272.xml"/></Relationships>
</file>

<file path=xl/drawings/_rels/drawing273.xml.rels><?xml version="1.0" encoding="UTF-8" standalone="yes"?>
<Relationships xmlns="http://schemas.openxmlformats.org/package/2006/relationships"><Relationship Id="rId1" Type="http://schemas.openxmlformats.org/officeDocument/2006/relationships/chart" Target="../charts/chart273.xml"/></Relationships>
</file>

<file path=xl/drawings/_rels/drawing274.xml.rels><?xml version="1.0" encoding="UTF-8" standalone="yes"?>
<Relationships xmlns="http://schemas.openxmlformats.org/package/2006/relationships"><Relationship Id="rId1" Type="http://schemas.openxmlformats.org/officeDocument/2006/relationships/chart" Target="../charts/chart274.xml"/></Relationships>
</file>

<file path=xl/drawings/_rels/drawing275.xml.rels><?xml version="1.0" encoding="UTF-8" standalone="yes"?>
<Relationships xmlns="http://schemas.openxmlformats.org/package/2006/relationships"><Relationship Id="rId1" Type="http://schemas.openxmlformats.org/officeDocument/2006/relationships/chart" Target="../charts/chart275.xml"/></Relationships>
</file>

<file path=xl/drawings/_rels/drawing276.xml.rels><?xml version="1.0" encoding="UTF-8" standalone="yes"?>
<Relationships xmlns="http://schemas.openxmlformats.org/package/2006/relationships"><Relationship Id="rId1" Type="http://schemas.openxmlformats.org/officeDocument/2006/relationships/chart" Target="../charts/chart276.xml"/></Relationships>
</file>

<file path=xl/drawings/_rels/drawing277.xml.rels><?xml version="1.0" encoding="UTF-8" standalone="yes"?>
<Relationships xmlns="http://schemas.openxmlformats.org/package/2006/relationships"><Relationship Id="rId1" Type="http://schemas.openxmlformats.org/officeDocument/2006/relationships/chart" Target="../charts/chart277.xml"/></Relationships>
</file>

<file path=xl/drawings/_rels/drawing278.xml.rels><?xml version="1.0" encoding="UTF-8" standalone="yes"?>
<Relationships xmlns="http://schemas.openxmlformats.org/package/2006/relationships"><Relationship Id="rId1" Type="http://schemas.openxmlformats.org/officeDocument/2006/relationships/chart" Target="../charts/chart278.xml"/></Relationships>
</file>

<file path=xl/drawings/_rels/drawing279.xml.rels><?xml version="1.0" encoding="UTF-8" standalone="yes"?>
<Relationships xmlns="http://schemas.openxmlformats.org/package/2006/relationships"><Relationship Id="rId1" Type="http://schemas.openxmlformats.org/officeDocument/2006/relationships/chart" Target="../charts/chart279.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80.xml.rels><?xml version="1.0" encoding="UTF-8" standalone="yes"?>
<Relationships xmlns="http://schemas.openxmlformats.org/package/2006/relationships"><Relationship Id="rId1" Type="http://schemas.openxmlformats.org/officeDocument/2006/relationships/chart" Target="../charts/chart280.xml"/></Relationships>
</file>

<file path=xl/drawings/_rels/drawing281.xml.rels><?xml version="1.0" encoding="UTF-8" standalone="yes"?>
<Relationships xmlns="http://schemas.openxmlformats.org/package/2006/relationships"><Relationship Id="rId1" Type="http://schemas.openxmlformats.org/officeDocument/2006/relationships/chart" Target="../charts/chart281.xml"/></Relationships>
</file>

<file path=xl/drawings/_rels/drawing282.xml.rels><?xml version="1.0" encoding="UTF-8" standalone="yes"?>
<Relationships xmlns="http://schemas.openxmlformats.org/package/2006/relationships"><Relationship Id="rId1" Type="http://schemas.openxmlformats.org/officeDocument/2006/relationships/chart" Target="../charts/chart282.xml"/></Relationships>
</file>

<file path=xl/drawings/_rels/drawing283.xml.rels><?xml version="1.0" encoding="UTF-8" standalone="yes"?>
<Relationships xmlns="http://schemas.openxmlformats.org/package/2006/relationships"><Relationship Id="rId1" Type="http://schemas.openxmlformats.org/officeDocument/2006/relationships/chart" Target="../charts/chart283.xml"/></Relationships>
</file>

<file path=xl/drawings/_rels/drawing284.xml.rels><?xml version="1.0" encoding="UTF-8" standalone="yes"?>
<Relationships xmlns="http://schemas.openxmlformats.org/package/2006/relationships"><Relationship Id="rId1" Type="http://schemas.openxmlformats.org/officeDocument/2006/relationships/chart" Target="../charts/chart284.xml"/></Relationships>
</file>

<file path=xl/drawings/_rels/drawing285.xml.rels><?xml version="1.0" encoding="UTF-8" standalone="yes"?>
<Relationships xmlns="http://schemas.openxmlformats.org/package/2006/relationships"><Relationship Id="rId1" Type="http://schemas.openxmlformats.org/officeDocument/2006/relationships/chart" Target="../charts/chart285.xml"/></Relationships>
</file>

<file path=xl/drawings/_rels/drawing286.xml.rels><?xml version="1.0" encoding="UTF-8" standalone="yes"?>
<Relationships xmlns="http://schemas.openxmlformats.org/package/2006/relationships"><Relationship Id="rId1" Type="http://schemas.openxmlformats.org/officeDocument/2006/relationships/chart" Target="../charts/chart286.xml"/></Relationships>
</file>

<file path=xl/drawings/_rels/drawing287.xml.rels><?xml version="1.0" encoding="UTF-8" standalone="yes"?>
<Relationships xmlns="http://schemas.openxmlformats.org/package/2006/relationships"><Relationship Id="rId1" Type="http://schemas.openxmlformats.org/officeDocument/2006/relationships/chart" Target="../charts/chart287.xml"/></Relationships>
</file>

<file path=xl/drawings/_rels/drawing288.xml.rels><?xml version="1.0" encoding="UTF-8" standalone="yes"?>
<Relationships xmlns="http://schemas.openxmlformats.org/package/2006/relationships"><Relationship Id="rId1" Type="http://schemas.openxmlformats.org/officeDocument/2006/relationships/chart" Target="../charts/chart288.xml"/></Relationships>
</file>

<file path=xl/drawings/_rels/drawing289.xml.rels><?xml version="1.0" encoding="UTF-8" standalone="yes"?>
<Relationships xmlns="http://schemas.openxmlformats.org/package/2006/relationships"><Relationship Id="rId1" Type="http://schemas.openxmlformats.org/officeDocument/2006/relationships/chart" Target="../charts/chart289.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90.xml.rels><?xml version="1.0" encoding="UTF-8" standalone="yes"?>
<Relationships xmlns="http://schemas.openxmlformats.org/package/2006/relationships"><Relationship Id="rId1" Type="http://schemas.openxmlformats.org/officeDocument/2006/relationships/chart" Target="../charts/chart290.xml"/></Relationships>
</file>

<file path=xl/drawings/_rels/drawing291.xml.rels><?xml version="1.0" encoding="UTF-8" standalone="yes"?>
<Relationships xmlns="http://schemas.openxmlformats.org/package/2006/relationships"><Relationship Id="rId1" Type="http://schemas.openxmlformats.org/officeDocument/2006/relationships/chart" Target="../charts/chart29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99.xml"/></Relationships>
</file>

<file path=xl/drawings/drawing1.xml><?xml version="1.0" encoding="utf-8"?>
<xdr:wsDr xmlns:xdr="http://schemas.openxmlformats.org/drawingml/2006/spreadsheetDrawing" xmlns:a="http://schemas.openxmlformats.org/drawingml/2006/main">
  <xdr:twoCellAnchor>
    <xdr:from>
      <xdr:col>4</xdr:col>
      <xdr:colOff>0</xdr:colOff>
      <xdr:row>1</xdr:row>
      <xdr:rowOff>30480</xdr:rowOff>
    </xdr:from>
    <xdr:to>
      <xdr:col>9</xdr:col>
      <xdr:colOff>63500</xdr:colOff>
      <xdr:row>16</xdr:row>
      <xdr:rowOff>2886</xdr:rowOff>
    </xdr:to>
    <xdr:graphicFrame macro="">
      <xdr:nvGraphicFramePr>
        <xdr:cNvPr id="2" name="Chart 1">
          <a:extLst>
            <a:ext uri="{FF2B5EF4-FFF2-40B4-BE49-F238E27FC236}">
              <a16:creationId xmlns:a16="http://schemas.microsoft.com/office/drawing/2014/main" id="{D0260FC8-7310-42D9-9751-0A1C3E943A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5D6C1EAC-FCDD-4D5E-B25B-101C7A23E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5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5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5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5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5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5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5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5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5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6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645E97C8-9978-418B-874F-5035342AB4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0.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6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6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6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6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6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6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6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7.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6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6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9.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6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3E12C12F-05AC-40AB-88A6-AD7EE61375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0.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6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1.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6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2.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6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3.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6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4.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6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5.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7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6.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7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7.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7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8.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7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9.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7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0.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7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1.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7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2.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7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3.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7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4.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7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5.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7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6.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7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7.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7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8.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7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9.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7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0.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7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1.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8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2.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8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3.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8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4.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8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5.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8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6.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8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7.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8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8.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8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9.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8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0.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8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1.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8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2.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8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3.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8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4.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8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5.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8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6.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8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7.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9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8.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9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9.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9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0.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9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1.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9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2.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9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3.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9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4.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9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5.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9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6.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9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7.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9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8.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9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9.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9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0.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9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1.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9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2.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9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3.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A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4.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A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5.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A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6.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A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7.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A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8.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A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9.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A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0.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A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1.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A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2.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A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3.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A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4.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A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5.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A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6.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A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7.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A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8.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A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9.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B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0.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B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1.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B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2.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B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3.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B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4.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B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5.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B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6.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B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7.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B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8.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B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9.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B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1</xdr:row>
      <xdr:rowOff>30480</xdr:rowOff>
    </xdr:from>
    <xdr:to>
      <xdr:col>9</xdr:col>
      <xdr:colOff>63500</xdr:colOff>
      <xdr:row>16</xdr:row>
      <xdr:rowOff>2886</xdr:rowOff>
    </xdr:to>
    <xdr:graphicFrame macro="">
      <xdr:nvGraphicFramePr>
        <xdr:cNvPr id="2" name="Chart 1">
          <a:extLst>
            <a:ext uri="{FF2B5EF4-FFF2-40B4-BE49-F238E27FC236}">
              <a16:creationId xmlns:a16="http://schemas.microsoft.com/office/drawing/2014/main" id="{EA7B6CD0-B793-4111-85CD-F26A084EA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0.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B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1.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B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2.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B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3.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B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4.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B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5.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C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6.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C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7.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C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8.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C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9.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C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0.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C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1.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C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2.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C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3.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C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4.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C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5.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C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6.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C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7.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C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8.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C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9.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C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0.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C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1.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D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2.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D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3.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D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4.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D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5.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D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6.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D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7.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D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8.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D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9.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D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0.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D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1.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D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2.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D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3.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D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4.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D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5.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D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6.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D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7.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E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8.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E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9.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E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0.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E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1.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E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2.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E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3.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E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4.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E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5.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E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6.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E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7.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E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8.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E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9.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E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0.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E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1.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E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2.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E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3.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F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4.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F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5.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F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6.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F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7.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F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8.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F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9.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F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0.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F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1.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F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2.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F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3.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F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4.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F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5.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F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6.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F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7.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F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8.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F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9.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00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0.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01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1.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02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2.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03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3.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04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4.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05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5.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06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6.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07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7.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08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8.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09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9.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0A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0.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0B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1.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0C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2.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0D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3.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0E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4.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0F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5.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10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6.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11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7.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12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8.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13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9.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14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0.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15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1.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16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1</xdr:row>
      <xdr:rowOff>30480</xdr:rowOff>
    </xdr:from>
    <xdr:to>
      <xdr:col>9</xdr:col>
      <xdr:colOff>63500</xdr:colOff>
      <xdr:row>16</xdr:row>
      <xdr:rowOff>2886</xdr:rowOff>
    </xdr:to>
    <xdr:graphicFrame macro="">
      <xdr:nvGraphicFramePr>
        <xdr:cNvPr id="2" name="Chart 1">
          <a:extLst>
            <a:ext uri="{FF2B5EF4-FFF2-40B4-BE49-F238E27FC236}">
              <a16:creationId xmlns:a16="http://schemas.microsoft.com/office/drawing/2014/main" id="{6D82EBC5-20EC-49CE-9EC0-4EAEBD1947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1</xdr:row>
      <xdr:rowOff>30480</xdr:rowOff>
    </xdr:from>
    <xdr:to>
      <xdr:col>9</xdr:col>
      <xdr:colOff>63500</xdr:colOff>
      <xdr:row>16</xdr:row>
      <xdr:rowOff>2886</xdr:rowOff>
    </xdr:to>
    <xdr:graphicFrame macro="">
      <xdr:nvGraphicFramePr>
        <xdr:cNvPr id="3" name="Chart 2">
          <a:extLst>
            <a:ext uri="{FF2B5EF4-FFF2-40B4-BE49-F238E27FC236}">
              <a16:creationId xmlns:a16="http://schemas.microsoft.com/office/drawing/2014/main" id="{1D0B805A-3D57-4D6A-87BE-DEA25386B5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4A3AA3BF-EA06-4DAA-BEF3-D75CF2157C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1DD4A5B0-EA2F-4163-AE15-83D9EA20EB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568D71B1-F93A-4C90-9619-F005897CE7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D62C7C58-D445-4589-9811-09BD490253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4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4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4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4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4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B3784148-6398-4A67-8DA2-306165854A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4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4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5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5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5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5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5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5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nunatsiaq.com/stories/article/iqaluits-brewery-sees-opportunity-challenges-in-easing-of-covid-19-restrictions/" TargetMode="External"/><Relationship Id="rId7" Type="http://schemas.openxmlformats.org/officeDocument/2006/relationships/hyperlink" Target="https://data.ontario.ca/en/dataset/covid-19-cases-in-hospital-and-icu-by-ontario-health-region/resource/e760480e-1f95-4634-a923-98161cfb02fa" TargetMode="External"/><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cabinradio.ca/100576/news/health/whats-the-nwts-covid-19-situation-its-kinda-hard-to-tell/" TargetMode="External"/><Relationship Id="rId6" Type="http://schemas.openxmlformats.org/officeDocument/2006/relationships/hyperlink" Target="https://www.gov.mb.ca/health/publichealth/surveillance/covid-19/index.html" TargetMode="External"/><Relationship Id="rId5" Type="http://schemas.openxmlformats.org/officeDocument/2006/relationships/hyperlink" Target="https://www.saskatchewan.ca/government/health-care-administration-and-provider-resources/treatment-procedures-and-guidelines/emerging-public-health-issues/2019-novel-coronavirus/cases-and-risk-of-covid-19-in-saskatchewan" TargetMode="External"/><Relationship Id="rId4" Type="http://schemas.openxmlformats.org/officeDocument/2006/relationships/hyperlink" Target="https://www2.gnb.ca/content/gnb/en/corporate/promo/covid-19/COVIDWATCH.html"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drawing" Target="../drawings/drawing10.xml"/><Relationship Id="rId3" Type="http://schemas.openxmlformats.org/officeDocument/2006/relationships/hyperlink" Target="https://nunatsiaq.com/stories/article/iqaluits-brewery-sees-opportunity-challenges-in-easing-of-covid-19-restrictions/" TargetMode="External"/><Relationship Id="rId7" Type="http://schemas.openxmlformats.org/officeDocument/2006/relationships/printerSettings" Target="../printerSettings/printerSettings10.bin"/><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cabinradio.ca/90738/news/yellowknife/cause-of-yk-covid-19-wastewater-spike-unclear-says-gnwt/" TargetMode="External"/><Relationship Id="rId6" Type="http://schemas.openxmlformats.org/officeDocument/2006/relationships/hyperlink" Target="https://www.gov.mb.ca/health/publichealth/surveillance/covid-19/index.html" TargetMode="External"/><Relationship Id="rId5" Type="http://schemas.openxmlformats.org/officeDocument/2006/relationships/hyperlink" Target="https://www.saskatchewan.ca/government/health-care-administration-and-provider-resources/treatment-procedures-and-guidelines/emerging-public-health-issues/2019-novel-coronavirus/cases-and-risk-of-covid-19-in-saskatchewan" TargetMode="External"/><Relationship Id="rId4" Type="http://schemas.openxmlformats.org/officeDocument/2006/relationships/hyperlink" Target="https://www2.gnb.ca/content/gnb/en/corporate/promo/covid-19/COVIDWATCH.html" TargetMode="External"/></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8" Type="http://schemas.openxmlformats.org/officeDocument/2006/relationships/drawing" Target="../drawings/drawing11.xml"/><Relationship Id="rId3" Type="http://schemas.openxmlformats.org/officeDocument/2006/relationships/hyperlink" Target="https://nunatsiaq.com/stories/article/iqaluits-brewery-sees-opportunity-challenges-in-easing-of-covid-19-restrictions/" TargetMode="External"/><Relationship Id="rId7" Type="http://schemas.openxmlformats.org/officeDocument/2006/relationships/printerSettings" Target="../printerSettings/printerSettings11.bin"/><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cabinradio.ca/90738/news/yellowknife/cause-of-yk-covid-19-wastewater-spike-unclear-says-gnwt/" TargetMode="External"/><Relationship Id="rId6" Type="http://schemas.openxmlformats.org/officeDocument/2006/relationships/hyperlink" Target="https://www.gov.mb.ca/health/publichealth/surveillance/covid-19/index.html" TargetMode="External"/><Relationship Id="rId5" Type="http://schemas.openxmlformats.org/officeDocument/2006/relationships/hyperlink" Target="https://www.saskatchewan.ca/government/health-care-administration-and-provider-resources/treatment-procedures-and-guidelines/emerging-public-health-issues/2019-novel-coronavirus/cases-and-risk-of-covid-19-in-saskatchewan" TargetMode="External"/><Relationship Id="rId4" Type="http://schemas.openxmlformats.org/officeDocument/2006/relationships/hyperlink" Target="https://www2.gnb.ca/content/gnb/en/corporate/promo/covid-19/COVIDWATCH.html" TargetMode="External"/></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8" Type="http://schemas.openxmlformats.org/officeDocument/2006/relationships/drawing" Target="../drawings/drawing12.xml"/><Relationship Id="rId3" Type="http://schemas.openxmlformats.org/officeDocument/2006/relationships/hyperlink" Target="https://nunatsiaq.com/stories/article/iqaluits-brewery-sees-opportunity-challenges-in-easing-of-covid-19-restrictions/" TargetMode="External"/><Relationship Id="rId7" Type="http://schemas.openxmlformats.org/officeDocument/2006/relationships/printerSettings" Target="../printerSettings/printerSettings12.bin"/><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cabinradio.ca/90738/news/yellowknife/cause-of-yk-covid-19-wastewater-spike-unclear-says-gnwt/" TargetMode="External"/><Relationship Id="rId6" Type="http://schemas.openxmlformats.org/officeDocument/2006/relationships/hyperlink" Target="https://www.gov.mb.ca/health/publichealth/surveillance/covid-19/index.html" TargetMode="External"/><Relationship Id="rId5" Type="http://schemas.openxmlformats.org/officeDocument/2006/relationships/hyperlink" Target="https://www.saskatchewan.ca/government/health-care-administration-and-provider-resources/treatment-procedures-and-guidelines/emerging-public-health-issues/2019-novel-coronavirus/cases-and-risk-of-covid-19-in-saskatchewan" TargetMode="External"/><Relationship Id="rId4" Type="http://schemas.openxmlformats.org/officeDocument/2006/relationships/hyperlink" Target="https://www2.gnb.ca/content/gnb/en/corporate/promo/covid-19/COVIDWATCH.html" TargetMode="External"/></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8" Type="http://schemas.openxmlformats.org/officeDocument/2006/relationships/drawing" Target="../drawings/drawing13.xml"/><Relationship Id="rId3" Type="http://schemas.openxmlformats.org/officeDocument/2006/relationships/hyperlink" Target="https://nunatsiaq.com/stories/article/iqaluits-brewery-sees-opportunity-challenges-in-easing-of-covid-19-restrictions/" TargetMode="External"/><Relationship Id="rId7" Type="http://schemas.openxmlformats.org/officeDocument/2006/relationships/printerSettings" Target="../printerSettings/printerSettings13.bin"/><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cabinradio.ca/90738/news/yellowknife/cause-of-yk-covid-19-wastewater-spike-unclear-says-gnwt/" TargetMode="External"/><Relationship Id="rId6" Type="http://schemas.openxmlformats.org/officeDocument/2006/relationships/hyperlink" Target="https://www.gov.mb.ca/health/publichealth/surveillance/covid-19/index.html" TargetMode="External"/><Relationship Id="rId5" Type="http://schemas.openxmlformats.org/officeDocument/2006/relationships/hyperlink" Target="https://www.saskatchewan.ca/government/health-care-administration-and-provider-resources/treatment-procedures-and-guidelines/emerging-public-health-issues/2019-novel-coronavirus/cases-and-risk-of-covid-19-in-saskatchewan" TargetMode="External"/><Relationship Id="rId4" Type="http://schemas.openxmlformats.org/officeDocument/2006/relationships/hyperlink" Target="https://www2.gnb.ca/content/gnb/en/corporate/promo/covid-19/COVIDWATCH.html" TargetMode="External"/></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8" Type="http://schemas.openxmlformats.org/officeDocument/2006/relationships/drawing" Target="../drawings/drawing14.xml"/><Relationship Id="rId3" Type="http://schemas.openxmlformats.org/officeDocument/2006/relationships/hyperlink" Target="https://nunatsiaq.com/stories/article/iqaluits-brewery-sees-opportunity-challenges-in-easing-of-covid-19-restrictions/" TargetMode="External"/><Relationship Id="rId7" Type="http://schemas.openxmlformats.org/officeDocument/2006/relationships/printerSettings" Target="../printerSettings/printerSettings14.bin"/><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cabinradio.ca/90738/news/yellowknife/cause-of-yk-covid-19-wastewater-spike-unclear-says-gnwt/" TargetMode="External"/><Relationship Id="rId6" Type="http://schemas.openxmlformats.org/officeDocument/2006/relationships/hyperlink" Target="https://www.gov.mb.ca/health/publichealth/surveillance/covid-19/index.html" TargetMode="External"/><Relationship Id="rId5" Type="http://schemas.openxmlformats.org/officeDocument/2006/relationships/hyperlink" Target="https://www.cbc.ca/news/canada/saskatchewan/covid19-hospitalizations-dropping-1.6459866" TargetMode="External"/><Relationship Id="rId4" Type="http://schemas.openxmlformats.org/officeDocument/2006/relationships/hyperlink" Target="https://www.cbc.ca/news/canada/new-brunswick/covid-19-new-brunswick-hospital-deaths-horizon-vitalite-covidwatch-1.6455532" TargetMode="External"/></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8" Type="http://schemas.openxmlformats.org/officeDocument/2006/relationships/drawing" Target="../drawings/drawing15.xml"/><Relationship Id="rId3" Type="http://schemas.openxmlformats.org/officeDocument/2006/relationships/hyperlink" Target="https://nunatsiaq.com/stories/article/iqaluits-brewery-sees-opportunity-challenges-in-easing-of-covid-19-restrictions/" TargetMode="External"/><Relationship Id="rId7" Type="http://schemas.openxmlformats.org/officeDocument/2006/relationships/printerSettings" Target="../printerSettings/printerSettings15.bin"/><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cabinradio.ca/90738/news/yellowknife/cause-of-yk-covid-19-wastewater-spike-unclear-says-gnwt/" TargetMode="External"/><Relationship Id="rId6" Type="http://schemas.openxmlformats.org/officeDocument/2006/relationships/hyperlink" Target="https://www.gov.mb.ca/health/publichealth/surveillance/covid-19/index.html" TargetMode="External"/><Relationship Id="rId5" Type="http://schemas.openxmlformats.org/officeDocument/2006/relationships/hyperlink" Target="https://www.cbc.ca/news/canada/saskatchewan/321-covid-19-hospitalizations-in-saskatchewan-1.6451280" TargetMode="External"/><Relationship Id="rId4" Type="http://schemas.openxmlformats.org/officeDocument/2006/relationships/hyperlink" Target="https://www.cbc.ca/news/canada/new-brunswick/covid-19-new-brunswick-deaths-hospitalizations-vitalite-horizon-1.6447369" TargetMode="External"/></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8" Type="http://schemas.openxmlformats.org/officeDocument/2006/relationships/drawing" Target="../drawings/drawing16.xml"/><Relationship Id="rId3" Type="http://schemas.openxmlformats.org/officeDocument/2006/relationships/hyperlink" Target="https://nunatsiaq.com/stories/article/gn-announces-schedule-to-lift-covid-19-restrictions/" TargetMode="External"/><Relationship Id="rId7" Type="http://schemas.openxmlformats.org/officeDocument/2006/relationships/printerSettings" Target="../printerSettings/printerSettings16.bin"/><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cabinradio.ca/90738/news/yellowknife/cause-of-yk-covid-19-wastewater-spike-unclear-says-gnwt/" TargetMode="External"/><Relationship Id="rId6" Type="http://schemas.openxmlformats.org/officeDocument/2006/relationships/hyperlink" Target="https://www.cbc.ca/news/canada/manitoba/manitoba-weekly-covid-19-report-april-24-30-1.6442371" TargetMode="External"/><Relationship Id="rId5" Type="http://schemas.openxmlformats.org/officeDocument/2006/relationships/hyperlink" Target="https://www.cbc.ca/news/canada/saskatoon/390-covid-19-hospitalizations-in-saskatchewan-1.6443154" TargetMode="External"/><Relationship Id="rId4" Type="http://schemas.openxmlformats.org/officeDocument/2006/relationships/hyperlink" Target="https://www.cbc.ca/news/canada/new-brunswick/covid-19-new-brunswick-deaths-hospitalizations-1.6439373" TargetMode="External"/></Relationships>
</file>

<file path=xl/worksheets/_rels/sheet160.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8" Type="http://schemas.openxmlformats.org/officeDocument/2006/relationships/drawing" Target="../drawings/drawing17.xml"/><Relationship Id="rId3" Type="http://schemas.openxmlformats.org/officeDocument/2006/relationships/hyperlink" Target="https://nunatsiaq.com/stories/article/gn-announces-schedule-to-lift-covid-19-restrictions/" TargetMode="External"/><Relationship Id="rId7" Type="http://schemas.openxmlformats.org/officeDocument/2006/relationships/printerSettings" Target="../printerSettings/printerSettings17.bin"/><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cabinradio.ca/90738/news/yellowknife/cause-of-yk-covid-19-wastewater-spike-unclear-says-gnwt/" TargetMode="External"/><Relationship Id="rId6" Type="http://schemas.openxmlformats.org/officeDocument/2006/relationships/hyperlink" Target="https://www.cbc.ca/news/canada/manitoba/manitoba-third-dose-laggard-analysis-1.6433157" TargetMode="External"/><Relationship Id="rId5" Type="http://schemas.openxmlformats.org/officeDocument/2006/relationships/hyperlink" Target="https://www.cbc.ca/news/canada/saskatchewan/409-covid-19-hospitalizations-in-saskatchewan-14-more-deaths-reported-1.6434342" TargetMode="External"/><Relationship Id="rId4" Type="http://schemas.openxmlformats.org/officeDocument/2006/relationships/hyperlink" Target="https://www.cbc.ca/news/canada/new-brunswick/new-brunswick-covid-19-wastewater-monitoring-dalhousie-university-luminultra-moncton-1.6426258" TargetMode="External"/></Relationships>
</file>

<file path=xl/worksheets/_rels/sheet170.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8" Type="http://schemas.openxmlformats.org/officeDocument/2006/relationships/drawing" Target="../drawings/drawing18.xml"/><Relationship Id="rId3" Type="http://schemas.openxmlformats.org/officeDocument/2006/relationships/hyperlink" Target="https://nunatsiaq.com/stories/article/gn-announces-schedule-to-lift-covid-19-restrictions/" TargetMode="External"/><Relationship Id="rId7" Type="http://schemas.openxmlformats.org/officeDocument/2006/relationships/printerSettings" Target="../printerSettings/printerSettings18.bin"/><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www.cbc.ca/news/canada/north/nwt-restrictions-update-1.6398386" TargetMode="External"/><Relationship Id="rId6" Type="http://schemas.openxmlformats.org/officeDocument/2006/relationships/hyperlink" Target="https://www.cbc.ca/news/canada/manitoba/manitoba-covid-19-weekly-updated-april-10-april-16-1.6426139" TargetMode="External"/><Relationship Id="rId5" Type="http://schemas.openxmlformats.org/officeDocument/2006/relationships/hyperlink" Target="https://www.cbc.ca/news/canada/saskatchewan/record-417-covid-19-hospitalizations-in-saskatchewan-22-more-deaths-reported-1.6426687" TargetMode="External"/><Relationship Id="rId4" Type="http://schemas.openxmlformats.org/officeDocument/2006/relationships/hyperlink" Target="https://www.cbc.ca/news/canada/new-brunswick/covid-19-hospital-patients-192-horizon-vitalite-workers-off-outbreaks-1.6424096" TargetMode="External"/></Relationships>
</file>

<file path=xl/worksheets/_rels/sheet180.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8" Type="http://schemas.openxmlformats.org/officeDocument/2006/relationships/drawing" Target="../drawings/drawing19.xml"/><Relationship Id="rId3" Type="http://schemas.openxmlformats.org/officeDocument/2006/relationships/hyperlink" Target="https://nunatsiaq.com/stories/article/gn-announces-schedule-to-lift-covid-19-restrictions/" TargetMode="External"/><Relationship Id="rId7" Type="http://schemas.openxmlformats.org/officeDocument/2006/relationships/printerSettings" Target="../printerSettings/printerSettings19.bin"/><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www.cbc.ca/news/canada/north/nwt-restrictions-update-1.6398386" TargetMode="External"/><Relationship Id="rId6" Type="http://schemas.openxmlformats.org/officeDocument/2006/relationships/hyperlink" Target="https://www.cbc.ca/news/canada/manitoba/manitoba-covid-hospitalization-numbers-1.6415980" TargetMode="External"/><Relationship Id="rId5" Type="http://schemas.openxmlformats.org/officeDocument/2006/relationships/hyperlink" Target="https://www.cbc.ca/news/canada/saskatchewan/covid-19-deaths-and-hospitalizations-on-the-rise-1.6412518" TargetMode="External"/><Relationship Id="rId4" Type="http://schemas.openxmlformats.org/officeDocument/2006/relationships/hyperlink" Target="https://www.cbc.ca/news/canada/new-brunswick/covid-19-new-brunswick-deaths-hospital-for-with-horizon-vitalite-dashboard-1.6416762" TargetMode="External"/></Relationships>
</file>

<file path=xl/worksheets/_rels/sheet190.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nunatsiaq.com/stories/article/iqaluits-brewery-sees-opportunity-challenges-in-easing-of-covid-19-restrictions/" TargetMode="External"/><Relationship Id="rId7" Type="http://schemas.openxmlformats.org/officeDocument/2006/relationships/hyperlink" Target="https://www.cp24.com/news/ontario-detects-96-covid-19-deaths-in-past-7-days-1.6023602" TargetMode="External"/><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cabinradio.ca/100576/news/health/whats-the-nwts-covid-19-situation-its-kinda-hard-to-tell/" TargetMode="External"/><Relationship Id="rId6" Type="http://schemas.openxmlformats.org/officeDocument/2006/relationships/hyperlink" Target="https://www.gov.mb.ca/health/publichealth/surveillance/covid-19/index.html" TargetMode="External"/><Relationship Id="rId5" Type="http://schemas.openxmlformats.org/officeDocument/2006/relationships/hyperlink" Target="https://www.saskatchewan.ca/government/health-care-administration-and-provider-resources/treatment-procedures-and-guidelines/emerging-public-health-issues/2019-novel-coronavirus/cases-and-risk-of-covid-19-in-saskatchewan" TargetMode="External"/><Relationship Id="rId4" Type="http://schemas.openxmlformats.org/officeDocument/2006/relationships/hyperlink" Target="https://www2.gnb.ca/content/gnb/en/corporate/promo/covid-19/COVIDWATCH.html" TargetMode="External"/><Relationship Id="rId9"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drawing" Target="../drawings/drawing20.xml"/><Relationship Id="rId3" Type="http://schemas.openxmlformats.org/officeDocument/2006/relationships/hyperlink" Target="https://nunatsiaq.com/stories/article/gn-announces-schedule-to-lift-covid-19-restrictions/" TargetMode="External"/><Relationship Id="rId7" Type="http://schemas.openxmlformats.org/officeDocument/2006/relationships/printerSettings" Target="../printerSettings/printerSettings20.bin"/><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www.cbc.ca/news/canada/north/nwt-restrictions-update-1.6398386" TargetMode="External"/><Relationship Id="rId6" Type="http://schemas.openxmlformats.org/officeDocument/2006/relationships/hyperlink" Target="https://www.cbc.ca/news/canada/manitoba/manitoba-covid-hospitalization-numbers-1.6415980" TargetMode="External"/><Relationship Id="rId5" Type="http://schemas.openxmlformats.org/officeDocument/2006/relationships/hyperlink" Target="https://www.cbc.ca/news/canada/saskatchewan/covid-19-deaths-and-hospitalizations-on-the-rise-1.6412518" TargetMode="External"/><Relationship Id="rId4" Type="http://schemas.openxmlformats.org/officeDocument/2006/relationships/hyperlink" Target="https://www.cbc.ca/news/canada/new-brunswick/covid-19-new-brunswick-covid-watch-dashboard-deaths-hospitalizations-cases-1.6408656" TargetMode="External"/></Relationships>
</file>

<file path=xl/worksheets/_rels/sheet200.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8" Type="http://schemas.openxmlformats.org/officeDocument/2006/relationships/drawing" Target="../drawings/drawing21.xml"/><Relationship Id="rId3" Type="http://schemas.openxmlformats.org/officeDocument/2006/relationships/hyperlink" Target="https://nunatsiaq.com/stories/article/gn-announces-schedule-to-lift-covid-19-restrictions/" TargetMode="External"/><Relationship Id="rId7" Type="http://schemas.openxmlformats.org/officeDocument/2006/relationships/printerSettings" Target="../printerSettings/printerSettings21.bin"/><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www.cbc.ca/news/canada/north/nwt-restrictions-update-1.6398386" TargetMode="External"/><Relationship Id="rId6" Type="http://schemas.openxmlformats.org/officeDocument/2006/relationships/hyperlink" Target="https://globalnews.ca/news/8742644/covid-19-manitoba-deaths-cases-epidemiology-update-april-7/" TargetMode="External"/><Relationship Id="rId5" Type="http://schemas.openxmlformats.org/officeDocument/2006/relationships/hyperlink" Target="https://www.cbc.ca/news/canada/saskatchewan/covid-19-deaths-and-hospitalizations-on-the-rise-1.6412518" TargetMode="External"/><Relationship Id="rId4" Type="http://schemas.openxmlformats.org/officeDocument/2006/relationships/hyperlink" Target="https://www.cbc.ca/news/canada/new-brunswick/covid-19-new-brunswick-covid-watch-dashboard-deaths-hospitalizations-cases-1.6408656" TargetMode="External"/></Relationships>
</file>

<file path=xl/worksheets/_rels/sheet210.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2" Type="http://schemas.openxmlformats.org/officeDocument/2006/relationships/drawing" Target="../drawings/drawing213.xml"/><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2" Type="http://schemas.openxmlformats.org/officeDocument/2006/relationships/drawing" Target="../drawings/drawing216.xml"/><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2" Type="http://schemas.openxmlformats.org/officeDocument/2006/relationships/drawing" Target="../drawings/drawing219.xml"/><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22.bin"/><Relationship Id="rId3" Type="http://schemas.openxmlformats.org/officeDocument/2006/relationships/hyperlink" Target="https://nunatsiaq.com/stories/article/gn-announces-schedule-to-lift-covid-19-restrictions/" TargetMode="External"/><Relationship Id="rId7" Type="http://schemas.openxmlformats.org/officeDocument/2006/relationships/hyperlink" Target="https://bc.ctvnews.ca/covid-19-update-hospitalizations-up-again-as-b-c-nears-end-of-daily-reporting-1.5849939" TargetMode="External"/><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www.cbc.ca/news/canada/north/nwt-restrictions-update-1.6398386" TargetMode="External"/><Relationship Id="rId6" Type="http://schemas.openxmlformats.org/officeDocument/2006/relationships/hyperlink" Target="https://www.cbc.ca/news/canada/manitoba/manitoba-covid-19-update-1.6402189" TargetMode="External"/><Relationship Id="rId5" Type="http://schemas.openxmlformats.org/officeDocument/2006/relationships/hyperlink" Target="https://thestarphoenix.com/news/saskatchewan/covid-19-hospitalizations-up-since-sask-switched-to-monthly-reporting" TargetMode="External"/><Relationship Id="rId4" Type="http://schemas.openxmlformats.org/officeDocument/2006/relationships/hyperlink" Target="https://www.cbc.ca/news/canada/new-brunswick/covid-19-new-brunswick-covid-watch-dashboard-deaths-hospitalizations-cases-1.6408656" TargetMode="External"/><Relationship Id="rId9" Type="http://schemas.openxmlformats.org/officeDocument/2006/relationships/drawing" Target="../drawings/drawing22.xml"/></Relationships>
</file>

<file path=xl/worksheets/_rels/sheet220.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2" Type="http://schemas.openxmlformats.org/officeDocument/2006/relationships/drawing" Target="../drawings/drawing221.xml"/><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2" Type="http://schemas.openxmlformats.org/officeDocument/2006/relationships/drawing" Target="../drawings/drawing223.xml"/><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2" Type="http://schemas.openxmlformats.org/officeDocument/2006/relationships/drawing" Target="../drawings/drawing224.xml"/><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2" Type="http://schemas.openxmlformats.org/officeDocument/2006/relationships/drawing" Target="../drawings/drawing226.xml"/><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2" Type="http://schemas.openxmlformats.org/officeDocument/2006/relationships/drawing" Target="../drawings/drawing227.xml"/><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2" Type="http://schemas.openxmlformats.org/officeDocument/2006/relationships/drawing" Target="../drawings/drawing228.xml"/><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2" Type="http://schemas.openxmlformats.org/officeDocument/2006/relationships/drawing" Target="../drawings/drawing229.xml"/><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8" Type="http://schemas.openxmlformats.org/officeDocument/2006/relationships/drawing" Target="../drawings/drawing23.xml"/><Relationship Id="rId3" Type="http://schemas.openxmlformats.org/officeDocument/2006/relationships/hyperlink" Target="https://nunatsiaq.com/stories/article/gn-announces-schedule-to-lift-covid-19-restrictions/" TargetMode="External"/><Relationship Id="rId7" Type="http://schemas.openxmlformats.org/officeDocument/2006/relationships/printerSettings" Target="../printerSettings/printerSettings23.bin"/><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www.cbc.ca/news/canada/north/nwt-restrictions-update-1.6398386" TargetMode="External"/><Relationship Id="rId6" Type="http://schemas.openxmlformats.org/officeDocument/2006/relationships/hyperlink" Target="https://www.cbc.ca/news/canada/manitoba/manitoba-covid-19-update-1.6402189" TargetMode="External"/><Relationship Id="rId5" Type="http://schemas.openxmlformats.org/officeDocument/2006/relationships/hyperlink" Target="https://thestarphoenix.com/news/saskatchewan/covid-19-hospitalizations-up-since-sask-switched-to-monthly-reporting" TargetMode="External"/><Relationship Id="rId4" Type="http://schemas.openxmlformats.org/officeDocument/2006/relationships/hyperlink" Target="https://www.cbc.ca/news/canada/new-brunswick/covid-19-new-brunswick-pandemic-1.6400973" TargetMode="External"/></Relationships>
</file>

<file path=xl/worksheets/_rels/sheet230.xml.rels><?xml version="1.0" encoding="UTF-8" standalone="yes"?>
<Relationships xmlns="http://schemas.openxmlformats.org/package/2006/relationships"><Relationship Id="rId2" Type="http://schemas.openxmlformats.org/officeDocument/2006/relationships/drawing" Target="../drawings/drawing230.xml"/><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2" Type="http://schemas.openxmlformats.org/officeDocument/2006/relationships/drawing" Target="../drawings/drawing231.xml"/><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2" Type="http://schemas.openxmlformats.org/officeDocument/2006/relationships/drawing" Target="../drawings/drawing232.xml"/><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2" Type="http://schemas.openxmlformats.org/officeDocument/2006/relationships/drawing" Target="../drawings/drawing233.xml"/><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2" Type="http://schemas.openxmlformats.org/officeDocument/2006/relationships/drawing" Target="../drawings/drawing234.xml"/><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2" Type="http://schemas.openxmlformats.org/officeDocument/2006/relationships/drawing" Target="../drawings/drawing235.xml"/><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2" Type="http://schemas.openxmlformats.org/officeDocument/2006/relationships/drawing" Target="../drawings/drawing236.xml"/><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2" Type="http://schemas.openxmlformats.org/officeDocument/2006/relationships/drawing" Target="../drawings/drawing237.xml"/><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2" Type="http://schemas.openxmlformats.org/officeDocument/2006/relationships/drawing" Target="../drawings/drawing238.xml"/><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2" Type="http://schemas.openxmlformats.org/officeDocument/2006/relationships/drawing" Target="../drawings/drawing239.xml"/><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8" Type="http://schemas.openxmlformats.org/officeDocument/2006/relationships/drawing" Target="../drawings/drawing24.xml"/><Relationship Id="rId3" Type="http://schemas.openxmlformats.org/officeDocument/2006/relationships/hyperlink" Target="https://nunatsiaq.com/stories/article/gn-announces-schedule-to-lift-covid-19-restrictions/" TargetMode="External"/><Relationship Id="rId7" Type="http://schemas.openxmlformats.org/officeDocument/2006/relationships/printerSettings" Target="../printerSettings/printerSettings24.bin"/><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www.cbc.ca/news/canada/north/nwt-restrictions-update-1.6398386" TargetMode="External"/><Relationship Id="rId6" Type="http://schemas.openxmlformats.org/officeDocument/2006/relationships/hyperlink" Target="https://www.cbc.ca/news/canada/manitoba/manitoba-covid-19-update-1.6402189" TargetMode="External"/><Relationship Id="rId5" Type="http://schemas.openxmlformats.org/officeDocument/2006/relationships/hyperlink" Target="https://thestarphoenix.com/news/saskatchewan/covid-19-hospitalizations-up-since-sask-switched-to-monthly-reporting" TargetMode="External"/><Relationship Id="rId4" Type="http://schemas.openxmlformats.org/officeDocument/2006/relationships/hyperlink" Target="https://www.cbc.ca/news/canada/new-brunswick/covid-19-new-brunswick-pandemic-1.6400973" TargetMode="External"/></Relationships>
</file>

<file path=xl/worksheets/_rels/sheet240.xml.rels><?xml version="1.0" encoding="UTF-8" standalone="yes"?>
<Relationships xmlns="http://schemas.openxmlformats.org/package/2006/relationships"><Relationship Id="rId2" Type="http://schemas.openxmlformats.org/officeDocument/2006/relationships/drawing" Target="../drawings/drawing240.xml"/><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2" Type="http://schemas.openxmlformats.org/officeDocument/2006/relationships/drawing" Target="../drawings/drawing241.xml"/><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2" Type="http://schemas.openxmlformats.org/officeDocument/2006/relationships/drawing" Target="../drawings/drawing242.xml"/><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2" Type="http://schemas.openxmlformats.org/officeDocument/2006/relationships/drawing" Target="../drawings/drawing243.xml"/><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2" Type="http://schemas.openxmlformats.org/officeDocument/2006/relationships/drawing" Target="../drawings/drawing244.xml"/><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2" Type="http://schemas.openxmlformats.org/officeDocument/2006/relationships/drawing" Target="../drawings/drawing245.xml"/><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2" Type="http://schemas.openxmlformats.org/officeDocument/2006/relationships/drawing" Target="../drawings/drawing246.xml"/><Relationship Id="rId1" Type="http://schemas.openxmlformats.org/officeDocument/2006/relationships/printerSettings" Target="../printerSettings/printerSettings246.bin"/></Relationships>
</file>

<file path=xl/worksheets/_rels/sheet247.xml.rels><?xml version="1.0" encoding="UTF-8" standalone="yes"?>
<Relationships xmlns="http://schemas.openxmlformats.org/package/2006/relationships"><Relationship Id="rId2" Type="http://schemas.openxmlformats.org/officeDocument/2006/relationships/drawing" Target="../drawings/drawing247.xml"/><Relationship Id="rId1" Type="http://schemas.openxmlformats.org/officeDocument/2006/relationships/printerSettings" Target="../printerSettings/printerSettings247.bin"/></Relationships>
</file>

<file path=xl/worksheets/_rels/sheet248.xml.rels><?xml version="1.0" encoding="UTF-8" standalone="yes"?>
<Relationships xmlns="http://schemas.openxmlformats.org/package/2006/relationships"><Relationship Id="rId2" Type="http://schemas.openxmlformats.org/officeDocument/2006/relationships/drawing" Target="../drawings/drawing248.xml"/><Relationship Id="rId1" Type="http://schemas.openxmlformats.org/officeDocument/2006/relationships/printerSettings" Target="../printerSettings/printerSettings248.bin"/></Relationships>
</file>

<file path=xl/worksheets/_rels/sheet249.xml.rels><?xml version="1.0" encoding="UTF-8" standalone="yes"?>
<Relationships xmlns="http://schemas.openxmlformats.org/package/2006/relationships"><Relationship Id="rId2" Type="http://schemas.openxmlformats.org/officeDocument/2006/relationships/drawing" Target="../drawings/drawing249.xml"/><Relationship Id="rId1" Type="http://schemas.openxmlformats.org/officeDocument/2006/relationships/printerSettings" Target="../printerSettings/printerSettings249.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25.bin"/><Relationship Id="rId3" Type="http://schemas.openxmlformats.org/officeDocument/2006/relationships/hyperlink" Target="https://nunatsiaq.com/stories/article/gn-announces-schedule-to-lift-covid-19-restrictions/" TargetMode="External"/><Relationship Id="rId7" Type="http://schemas.openxmlformats.org/officeDocument/2006/relationships/hyperlink" Target="https://winnipeg.ctvnews.ca/no-deaths-covid-19-hospitalizations-drop-in-manitoba-on-friday-1.5834872" TargetMode="External"/><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www.cbc.ca/news/canada/north/nwt-restrictions-update-1.6398386" TargetMode="External"/><Relationship Id="rId6" Type="http://schemas.openxmlformats.org/officeDocument/2006/relationships/hyperlink" Target="https://www.saltwire.com/atlantic-canada/news/covid-19-hospitalizations-health-care-worker-absences-rise-in-nova-scotia-100711525/" TargetMode="External"/><Relationship Id="rId5" Type="http://schemas.openxmlformats.org/officeDocument/2006/relationships/hyperlink" Target="https://leaderpost.com/opinion/columnists/mandryk-are-more-covid-19-deaths-the-price-paid-for-governments-bad-messaging" TargetMode="External"/><Relationship Id="rId4" Type="http://schemas.openxmlformats.org/officeDocument/2006/relationships/hyperlink" Target="https://www.cbc.ca/news/canada/new-brunswick/covid-19-new-brunswick-pandemic-1.6400973" TargetMode="External"/><Relationship Id="rId9" Type="http://schemas.openxmlformats.org/officeDocument/2006/relationships/drawing" Target="../drawings/drawing25.xml"/></Relationships>
</file>

<file path=xl/worksheets/_rels/sheet250.xml.rels><?xml version="1.0" encoding="UTF-8" standalone="yes"?>
<Relationships xmlns="http://schemas.openxmlformats.org/package/2006/relationships"><Relationship Id="rId2" Type="http://schemas.openxmlformats.org/officeDocument/2006/relationships/drawing" Target="../drawings/drawing250.xml"/><Relationship Id="rId1" Type="http://schemas.openxmlformats.org/officeDocument/2006/relationships/printerSettings" Target="../printerSettings/printerSettings250.bin"/></Relationships>
</file>

<file path=xl/worksheets/_rels/sheet251.xml.rels><?xml version="1.0" encoding="UTF-8" standalone="yes"?>
<Relationships xmlns="http://schemas.openxmlformats.org/package/2006/relationships"><Relationship Id="rId2" Type="http://schemas.openxmlformats.org/officeDocument/2006/relationships/drawing" Target="../drawings/drawing251.xml"/><Relationship Id="rId1" Type="http://schemas.openxmlformats.org/officeDocument/2006/relationships/printerSettings" Target="../printerSettings/printerSettings251.bin"/></Relationships>
</file>

<file path=xl/worksheets/_rels/sheet252.xml.rels><?xml version="1.0" encoding="UTF-8" standalone="yes"?>
<Relationships xmlns="http://schemas.openxmlformats.org/package/2006/relationships"><Relationship Id="rId2" Type="http://schemas.openxmlformats.org/officeDocument/2006/relationships/drawing" Target="../drawings/drawing252.xml"/><Relationship Id="rId1" Type="http://schemas.openxmlformats.org/officeDocument/2006/relationships/printerSettings" Target="../printerSettings/printerSettings252.bin"/></Relationships>
</file>

<file path=xl/worksheets/_rels/sheet253.xml.rels><?xml version="1.0" encoding="UTF-8" standalone="yes"?>
<Relationships xmlns="http://schemas.openxmlformats.org/package/2006/relationships"><Relationship Id="rId2" Type="http://schemas.openxmlformats.org/officeDocument/2006/relationships/drawing" Target="../drawings/drawing253.xml"/><Relationship Id="rId1" Type="http://schemas.openxmlformats.org/officeDocument/2006/relationships/printerSettings" Target="../printerSettings/printerSettings253.bin"/></Relationships>
</file>

<file path=xl/worksheets/_rels/sheet254.xml.rels><?xml version="1.0" encoding="UTF-8" standalone="yes"?>
<Relationships xmlns="http://schemas.openxmlformats.org/package/2006/relationships"><Relationship Id="rId2" Type="http://schemas.openxmlformats.org/officeDocument/2006/relationships/drawing" Target="../drawings/drawing254.xml"/><Relationship Id="rId1" Type="http://schemas.openxmlformats.org/officeDocument/2006/relationships/printerSettings" Target="../printerSettings/printerSettings254.bin"/></Relationships>
</file>

<file path=xl/worksheets/_rels/sheet255.xml.rels><?xml version="1.0" encoding="UTF-8" standalone="yes"?>
<Relationships xmlns="http://schemas.openxmlformats.org/package/2006/relationships"><Relationship Id="rId2" Type="http://schemas.openxmlformats.org/officeDocument/2006/relationships/drawing" Target="../drawings/drawing255.xml"/><Relationship Id="rId1" Type="http://schemas.openxmlformats.org/officeDocument/2006/relationships/printerSettings" Target="../printerSettings/printerSettings255.bin"/></Relationships>
</file>

<file path=xl/worksheets/_rels/sheet256.xml.rels><?xml version="1.0" encoding="UTF-8" standalone="yes"?>
<Relationships xmlns="http://schemas.openxmlformats.org/package/2006/relationships"><Relationship Id="rId2" Type="http://schemas.openxmlformats.org/officeDocument/2006/relationships/drawing" Target="../drawings/drawing256.xml"/><Relationship Id="rId1" Type="http://schemas.openxmlformats.org/officeDocument/2006/relationships/printerSettings" Target="../printerSettings/printerSettings256.bin"/></Relationships>
</file>

<file path=xl/worksheets/_rels/sheet257.xml.rels><?xml version="1.0" encoding="UTF-8" standalone="yes"?>
<Relationships xmlns="http://schemas.openxmlformats.org/package/2006/relationships"><Relationship Id="rId2" Type="http://schemas.openxmlformats.org/officeDocument/2006/relationships/drawing" Target="../drawings/drawing257.xml"/><Relationship Id="rId1" Type="http://schemas.openxmlformats.org/officeDocument/2006/relationships/printerSettings" Target="../printerSettings/printerSettings257.bin"/></Relationships>
</file>

<file path=xl/worksheets/_rels/sheet258.xml.rels><?xml version="1.0" encoding="UTF-8" standalone="yes"?>
<Relationships xmlns="http://schemas.openxmlformats.org/package/2006/relationships"><Relationship Id="rId2" Type="http://schemas.openxmlformats.org/officeDocument/2006/relationships/drawing" Target="../drawings/drawing258.xml"/><Relationship Id="rId1" Type="http://schemas.openxmlformats.org/officeDocument/2006/relationships/printerSettings" Target="../printerSettings/printerSettings258.bin"/></Relationships>
</file>

<file path=xl/worksheets/_rels/sheet259.xml.rels><?xml version="1.0" encoding="UTF-8" standalone="yes"?>
<Relationships xmlns="http://schemas.openxmlformats.org/package/2006/relationships"><Relationship Id="rId2" Type="http://schemas.openxmlformats.org/officeDocument/2006/relationships/drawing" Target="../drawings/drawing259.xml"/><Relationship Id="rId1" Type="http://schemas.openxmlformats.org/officeDocument/2006/relationships/printerSettings" Target="../printerSettings/printerSettings259.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26.bin"/><Relationship Id="rId3" Type="http://schemas.openxmlformats.org/officeDocument/2006/relationships/hyperlink" Target="https://nunatsiaq.com/stories/article/gn-announces-schedule-to-lift-covid-19-restrictions/" TargetMode="External"/><Relationship Id="rId7" Type="http://schemas.openxmlformats.org/officeDocument/2006/relationships/hyperlink" Target="https://winnipeg.ctvnews.ca/no-deaths-covid-19-hospitalizations-drop-in-manitoba-on-friday-1.5834872" TargetMode="External"/><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www.cbc.ca/news/canada/north/nwt-restrictions-update-1.6398386" TargetMode="External"/><Relationship Id="rId6" Type="http://schemas.openxmlformats.org/officeDocument/2006/relationships/hyperlink" Target="https://www.saltwire.com/atlantic-canada/news/covid-19-hospitalizations-health-care-worker-absences-rise-in-nova-scotia-100711525/" TargetMode="External"/><Relationship Id="rId5" Type="http://schemas.openxmlformats.org/officeDocument/2006/relationships/hyperlink" Target="https://thestarphoenix.com/news/saskatchewan/covid-19-sask-reports-33-deaths-rising-hospitalizations" TargetMode="External"/><Relationship Id="rId4" Type="http://schemas.openxmlformats.org/officeDocument/2006/relationships/hyperlink" Target="https://www.lintelligencer.com/new-brunswick-reports-16-covid-related-deaths-jump-in-hospitalizations-17213-2022/" TargetMode="External"/><Relationship Id="rId9" Type="http://schemas.openxmlformats.org/officeDocument/2006/relationships/drawing" Target="../drawings/drawing26.xml"/></Relationships>
</file>

<file path=xl/worksheets/_rels/sheet260.xml.rels><?xml version="1.0" encoding="UTF-8" standalone="yes"?>
<Relationships xmlns="http://schemas.openxmlformats.org/package/2006/relationships"><Relationship Id="rId2" Type="http://schemas.openxmlformats.org/officeDocument/2006/relationships/drawing" Target="../drawings/drawing260.xml"/><Relationship Id="rId1" Type="http://schemas.openxmlformats.org/officeDocument/2006/relationships/printerSettings" Target="../printerSettings/printerSettings260.bin"/></Relationships>
</file>

<file path=xl/worksheets/_rels/sheet261.xml.rels><?xml version="1.0" encoding="UTF-8" standalone="yes"?>
<Relationships xmlns="http://schemas.openxmlformats.org/package/2006/relationships"><Relationship Id="rId2" Type="http://schemas.openxmlformats.org/officeDocument/2006/relationships/drawing" Target="../drawings/drawing261.xml"/><Relationship Id="rId1" Type="http://schemas.openxmlformats.org/officeDocument/2006/relationships/printerSettings" Target="../printerSettings/printerSettings261.bin"/></Relationships>
</file>

<file path=xl/worksheets/_rels/sheet262.xml.rels><?xml version="1.0" encoding="UTF-8" standalone="yes"?>
<Relationships xmlns="http://schemas.openxmlformats.org/package/2006/relationships"><Relationship Id="rId2" Type="http://schemas.openxmlformats.org/officeDocument/2006/relationships/drawing" Target="../drawings/drawing262.xml"/><Relationship Id="rId1" Type="http://schemas.openxmlformats.org/officeDocument/2006/relationships/printerSettings" Target="../printerSettings/printerSettings262.bin"/></Relationships>
</file>

<file path=xl/worksheets/_rels/sheet263.xml.rels><?xml version="1.0" encoding="UTF-8" standalone="yes"?>
<Relationships xmlns="http://schemas.openxmlformats.org/package/2006/relationships"><Relationship Id="rId2" Type="http://schemas.openxmlformats.org/officeDocument/2006/relationships/drawing" Target="../drawings/drawing263.xml"/><Relationship Id="rId1" Type="http://schemas.openxmlformats.org/officeDocument/2006/relationships/printerSettings" Target="../printerSettings/printerSettings263.bin"/></Relationships>
</file>

<file path=xl/worksheets/_rels/sheet264.xml.rels><?xml version="1.0" encoding="UTF-8" standalone="yes"?>
<Relationships xmlns="http://schemas.openxmlformats.org/package/2006/relationships"><Relationship Id="rId2" Type="http://schemas.openxmlformats.org/officeDocument/2006/relationships/drawing" Target="../drawings/drawing264.xml"/><Relationship Id="rId1" Type="http://schemas.openxmlformats.org/officeDocument/2006/relationships/printerSettings" Target="../printerSettings/printerSettings264.bin"/></Relationships>
</file>

<file path=xl/worksheets/_rels/sheet265.xml.rels><?xml version="1.0" encoding="UTF-8" standalone="yes"?>
<Relationships xmlns="http://schemas.openxmlformats.org/package/2006/relationships"><Relationship Id="rId2" Type="http://schemas.openxmlformats.org/officeDocument/2006/relationships/drawing" Target="../drawings/drawing265.xml"/><Relationship Id="rId1" Type="http://schemas.openxmlformats.org/officeDocument/2006/relationships/printerSettings" Target="../printerSettings/printerSettings265.bin"/></Relationships>
</file>

<file path=xl/worksheets/_rels/sheet266.xml.rels><?xml version="1.0" encoding="UTF-8" standalone="yes"?>
<Relationships xmlns="http://schemas.openxmlformats.org/package/2006/relationships"><Relationship Id="rId2" Type="http://schemas.openxmlformats.org/officeDocument/2006/relationships/drawing" Target="../drawings/drawing266.xml"/><Relationship Id="rId1" Type="http://schemas.openxmlformats.org/officeDocument/2006/relationships/printerSettings" Target="../printerSettings/printerSettings266.bin"/></Relationships>
</file>

<file path=xl/worksheets/_rels/sheet267.xml.rels><?xml version="1.0" encoding="UTF-8" standalone="yes"?>
<Relationships xmlns="http://schemas.openxmlformats.org/package/2006/relationships"><Relationship Id="rId2" Type="http://schemas.openxmlformats.org/officeDocument/2006/relationships/drawing" Target="../drawings/drawing267.xml"/><Relationship Id="rId1" Type="http://schemas.openxmlformats.org/officeDocument/2006/relationships/printerSettings" Target="../printerSettings/printerSettings267.bin"/></Relationships>
</file>

<file path=xl/worksheets/_rels/sheet268.xml.rels><?xml version="1.0" encoding="UTF-8" standalone="yes"?>
<Relationships xmlns="http://schemas.openxmlformats.org/package/2006/relationships"><Relationship Id="rId2" Type="http://schemas.openxmlformats.org/officeDocument/2006/relationships/drawing" Target="../drawings/drawing268.xml"/><Relationship Id="rId1" Type="http://schemas.openxmlformats.org/officeDocument/2006/relationships/printerSettings" Target="../printerSettings/printerSettings268.bin"/></Relationships>
</file>

<file path=xl/worksheets/_rels/sheet269.xml.rels><?xml version="1.0" encoding="UTF-8" standalone="yes"?>
<Relationships xmlns="http://schemas.openxmlformats.org/package/2006/relationships"><Relationship Id="rId2" Type="http://schemas.openxmlformats.org/officeDocument/2006/relationships/drawing" Target="../drawings/drawing269.xml"/><Relationship Id="rId1" Type="http://schemas.openxmlformats.org/officeDocument/2006/relationships/printerSettings" Target="../printerSettings/printerSettings269.bin"/></Relationships>
</file>

<file path=xl/worksheets/_rels/sheet27.xml.rels><?xml version="1.0" encoding="UTF-8" standalone="yes"?>
<Relationships xmlns="http://schemas.openxmlformats.org/package/2006/relationships"><Relationship Id="rId3" Type="http://schemas.openxmlformats.org/officeDocument/2006/relationships/hyperlink" Target="https://nunatsiaq.com/stories/article/gn-announces-schedule-to-lift-covid-19-restrictions/" TargetMode="External"/><Relationship Id="rId7" Type="http://schemas.openxmlformats.org/officeDocument/2006/relationships/drawing" Target="../drawings/drawing27.xml"/><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cabinradio.ca/87917/news/health/coronavirus/nwt-releases-new-data-on-the-most-severe-covid-19-cases/" TargetMode="External"/><Relationship Id="rId6" Type="http://schemas.openxmlformats.org/officeDocument/2006/relationships/printerSettings" Target="../printerSettings/printerSettings27.bin"/><Relationship Id="rId5" Type="http://schemas.openxmlformats.org/officeDocument/2006/relationships/hyperlink" Target="https://thestarphoenix.com/news/saskatchewan/covid-19-sask-reports-33-deaths-rising-hospitalizations" TargetMode="External"/><Relationship Id="rId4" Type="http://schemas.openxmlformats.org/officeDocument/2006/relationships/hyperlink" Target="https://www.cbc.ca/news/canada/new-brunswick/covid-19-new-brunswick-pandemic-1.6393030" TargetMode="External"/></Relationships>
</file>

<file path=xl/worksheets/_rels/sheet270.xml.rels><?xml version="1.0" encoding="UTF-8" standalone="yes"?>
<Relationships xmlns="http://schemas.openxmlformats.org/package/2006/relationships"><Relationship Id="rId2" Type="http://schemas.openxmlformats.org/officeDocument/2006/relationships/drawing" Target="../drawings/drawing270.xml"/><Relationship Id="rId1" Type="http://schemas.openxmlformats.org/officeDocument/2006/relationships/printerSettings" Target="../printerSettings/printerSettings270.bin"/></Relationships>
</file>

<file path=xl/worksheets/_rels/sheet271.xml.rels><?xml version="1.0" encoding="UTF-8" standalone="yes"?>
<Relationships xmlns="http://schemas.openxmlformats.org/package/2006/relationships"><Relationship Id="rId2" Type="http://schemas.openxmlformats.org/officeDocument/2006/relationships/drawing" Target="../drawings/drawing271.xml"/><Relationship Id="rId1" Type="http://schemas.openxmlformats.org/officeDocument/2006/relationships/printerSettings" Target="../printerSettings/printerSettings271.bin"/></Relationships>
</file>

<file path=xl/worksheets/_rels/sheet272.xml.rels><?xml version="1.0" encoding="UTF-8" standalone="yes"?>
<Relationships xmlns="http://schemas.openxmlformats.org/package/2006/relationships"><Relationship Id="rId2" Type="http://schemas.openxmlformats.org/officeDocument/2006/relationships/drawing" Target="../drawings/drawing272.xml"/><Relationship Id="rId1" Type="http://schemas.openxmlformats.org/officeDocument/2006/relationships/printerSettings" Target="../printerSettings/printerSettings272.bin"/></Relationships>
</file>

<file path=xl/worksheets/_rels/sheet273.xml.rels><?xml version="1.0" encoding="UTF-8" standalone="yes"?>
<Relationships xmlns="http://schemas.openxmlformats.org/package/2006/relationships"><Relationship Id="rId2" Type="http://schemas.openxmlformats.org/officeDocument/2006/relationships/drawing" Target="../drawings/drawing273.xml"/><Relationship Id="rId1" Type="http://schemas.openxmlformats.org/officeDocument/2006/relationships/printerSettings" Target="../printerSettings/printerSettings273.bin"/></Relationships>
</file>

<file path=xl/worksheets/_rels/sheet274.xml.rels><?xml version="1.0" encoding="UTF-8" standalone="yes"?>
<Relationships xmlns="http://schemas.openxmlformats.org/package/2006/relationships"><Relationship Id="rId2" Type="http://schemas.openxmlformats.org/officeDocument/2006/relationships/drawing" Target="../drawings/drawing274.xml"/><Relationship Id="rId1" Type="http://schemas.openxmlformats.org/officeDocument/2006/relationships/printerSettings" Target="../printerSettings/printerSettings274.bin"/></Relationships>
</file>

<file path=xl/worksheets/_rels/sheet275.xml.rels><?xml version="1.0" encoding="UTF-8" standalone="yes"?>
<Relationships xmlns="http://schemas.openxmlformats.org/package/2006/relationships"><Relationship Id="rId2" Type="http://schemas.openxmlformats.org/officeDocument/2006/relationships/drawing" Target="../drawings/drawing275.xml"/><Relationship Id="rId1" Type="http://schemas.openxmlformats.org/officeDocument/2006/relationships/printerSettings" Target="../printerSettings/printerSettings275.bin"/></Relationships>
</file>

<file path=xl/worksheets/_rels/sheet276.xml.rels><?xml version="1.0" encoding="UTF-8" standalone="yes"?>
<Relationships xmlns="http://schemas.openxmlformats.org/package/2006/relationships"><Relationship Id="rId2" Type="http://schemas.openxmlformats.org/officeDocument/2006/relationships/drawing" Target="../drawings/drawing276.xml"/><Relationship Id="rId1" Type="http://schemas.openxmlformats.org/officeDocument/2006/relationships/printerSettings" Target="../printerSettings/printerSettings276.bin"/></Relationships>
</file>

<file path=xl/worksheets/_rels/sheet277.xml.rels><?xml version="1.0" encoding="UTF-8" standalone="yes"?>
<Relationships xmlns="http://schemas.openxmlformats.org/package/2006/relationships"><Relationship Id="rId2" Type="http://schemas.openxmlformats.org/officeDocument/2006/relationships/drawing" Target="../drawings/drawing277.xml"/><Relationship Id="rId1" Type="http://schemas.openxmlformats.org/officeDocument/2006/relationships/printerSettings" Target="../printerSettings/printerSettings277.bin"/></Relationships>
</file>

<file path=xl/worksheets/_rels/sheet278.xml.rels><?xml version="1.0" encoding="UTF-8" standalone="yes"?>
<Relationships xmlns="http://schemas.openxmlformats.org/package/2006/relationships"><Relationship Id="rId2" Type="http://schemas.openxmlformats.org/officeDocument/2006/relationships/drawing" Target="../drawings/drawing278.xml"/><Relationship Id="rId1" Type="http://schemas.openxmlformats.org/officeDocument/2006/relationships/printerSettings" Target="../printerSettings/printerSettings278.bin"/></Relationships>
</file>

<file path=xl/worksheets/_rels/sheet279.xml.rels><?xml version="1.0" encoding="UTF-8" standalone="yes"?>
<Relationships xmlns="http://schemas.openxmlformats.org/package/2006/relationships"><Relationship Id="rId2" Type="http://schemas.openxmlformats.org/officeDocument/2006/relationships/drawing" Target="../drawings/drawing279.xml"/><Relationship Id="rId1" Type="http://schemas.openxmlformats.org/officeDocument/2006/relationships/printerSettings" Target="../printerSettings/printerSettings279.bin"/></Relationships>
</file>

<file path=xl/worksheets/_rels/sheet28.xml.rels><?xml version="1.0" encoding="UTF-8" standalone="yes"?>
<Relationships xmlns="http://schemas.openxmlformats.org/package/2006/relationships"><Relationship Id="rId3" Type="http://schemas.openxmlformats.org/officeDocument/2006/relationships/hyperlink" Target="https://nunatsiaq.com/stories/article/gn-announces-schedule-to-lift-covid-19-restrictions/" TargetMode="External"/><Relationship Id="rId7" Type="http://schemas.openxmlformats.org/officeDocument/2006/relationships/drawing" Target="../drawings/drawing28.xml"/><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cabinradio.ca/87917/news/health/coronavirus/nwt-releases-new-data-on-the-most-severe-covid-19-cases/" TargetMode="External"/><Relationship Id="rId6" Type="http://schemas.openxmlformats.org/officeDocument/2006/relationships/printerSettings" Target="../printerSettings/printerSettings28.bin"/><Relationship Id="rId5" Type="http://schemas.openxmlformats.org/officeDocument/2006/relationships/hyperlink" Target="https://globalnews.ca/news/8690886/covid-19-cases-saskatchewan-update-march-17/" TargetMode="External"/><Relationship Id="rId4" Type="http://schemas.openxmlformats.org/officeDocument/2006/relationships/hyperlink" Target="https://www.cbc.ca/news/canada/new-brunswick/covid-19-new-brunswick-pandemic-1.6393030" TargetMode="External"/></Relationships>
</file>

<file path=xl/worksheets/_rels/sheet280.xml.rels><?xml version="1.0" encoding="UTF-8" standalone="yes"?>
<Relationships xmlns="http://schemas.openxmlformats.org/package/2006/relationships"><Relationship Id="rId2" Type="http://schemas.openxmlformats.org/officeDocument/2006/relationships/drawing" Target="../drawings/drawing280.xml"/><Relationship Id="rId1" Type="http://schemas.openxmlformats.org/officeDocument/2006/relationships/printerSettings" Target="../printerSettings/printerSettings280.bin"/></Relationships>
</file>

<file path=xl/worksheets/_rels/sheet281.xml.rels><?xml version="1.0" encoding="UTF-8" standalone="yes"?>
<Relationships xmlns="http://schemas.openxmlformats.org/package/2006/relationships"><Relationship Id="rId2" Type="http://schemas.openxmlformats.org/officeDocument/2006/relationships/drawing" Target="../drawings/drawing281.xml"/><Relationship Id="rId1" Type="http://schemas.openxmlformats.org/officeDocument/2006/relationships/printerSettings" Target="../printerSettings/printerSettings281.bin"/></Relationships>
</file>

<file path=xl/worksheets/_rels/sheet282.xml.rels><?xml version="1.0" encoding="UTF-8" standalone="yes"?>
<Relationships xmlns="http://schemas.openxmlformats.org/package/2006/relationships"><Relationship Id="rId2" Type="http://schemas.openxmlformats.org/officeDocument/2006/relationships/drawing" Target="../drawings/drawing282.xml"/><Relationship Id="rId1" Type="http://schemas.openxmlformats.org/officeDocument/2006/relationships/printerSettings" Target="../printerSettings/printerSettings282.bin"/></Relationships>
</file>

<file path=xl/worksheets/_rels/sheet283.xml.rels><?xml version="1.0" encoding="UTF-8" standalone="yes"?>
<Relationships xmlns="http://schemas.openxmlformats.org/package/2006/relationships"><Relationship Id="rId2" Type="http://schemas.openxmlformats.org/officeDocument/2006/relationships/drawing" Target="../drawings/drawing283.xml"/><Relationship Id="rId1" Type="http://schemas.openxmlformats.org/officeDocument/2006/relationships/printerSettings" Target="../printerSettings/printerSettings283.bin"/></Relationships>
</file>

<file path=xl/worksheets/_rels/sheet284.xml.rels><?xml version="1.0" encoding="UTF-8" standalone="yes"?>
<Relationships xmlns="http://schemas.openxmlformats.org/package/2006/relationships"><Relationship Id="rId2" Type="http://schemas.openxmlformats.org/officeDocument/2006/relationships/drawing" Target="../drawings/drawing284.xml"/><Relationship Id="rId1" Type="http://schemas.openxmlformats.org/officeDocument/2006/relationships/printerSettings" Target="../printerSettings/printerSettings284.bin"/></Relationships>
</file>

<file path=xl/worksheets/_rels/sheet285.xml.rels><?xml version="1.0" encoding="UTF-8" standalone="yes"?>
<Relationships xmlns="http://schemas.openxmlformats.org/package/2006/relationships"><Relationship Id="rId2" Type="http://schemas.openxmlformats.org/officeDocument/2006/relationships/drawing" Target="../drawings/drawing285.xml"/><Relationship Id="rId1" Type="http://schemas.openxmlformats.org/officeDocument/2006/relationships/printerSettings" Target="../printerSettings/printerSettings285.bin"/></Relationships>
</file>

<file path=xl/worksheets/_rels/sheet286.xml.rels><?xml version="1.0" encoding="UTF-8" standalone="yes"?>
<Relationships xmlns="http://schemas.openxmlformats.org/package/2006/relationships"><Relationship Id="rId2" Type="http://schemas.openxmlformats.org/officeDocument/2006/relationships/drawing" Target="../drawings/drawing286.xml"/><Relationship Id="rId1" Type="http://schemas.openxmlformats.org/officeDocument/2006/relationships/printerSettings" Target="../printerSettings/printerSettings286.bin"/></Relationships>
</file>

<file path=xl/worksheets/_rels/sheet287.xml.rels><?xml version="1.0" encoding="UTF-8" standalone="yes"?>
<Relationships xmlns="http://schemas.openxmlformats.org/package/2006/relationships"><Relationship Id="rId2" Type="http://schemas.openxmlformats.org/officeDocument/2006/relationships/drawing" Target="../drawings/drawing287.xml"/><Relationship Id="rId1" Type="http://schemas.openxmlformats.org/officeDocument/2006/relationships/printerSettings" Target="../printerSettings/printerSettings287.bin"/></Relationships>
</file>

<file path=xl/worksheets/_rels/sheet288.xml.rels><?xml version="1.0" encoding="UTF-8" standalone="yes"?>
<Relationships xmlns="http://schemas.openxmlformats.org/package/2006/relationships"><Relationship Id="rId2" Type="http://schemas.openxmlformats.org/officeDocument/2006/relationships/drawing" Target="../drawings/drawing288.xml"/><Relationship Id="rId1" Type="http://schemas.openxmlformats.org/officeDocument/2006/relationships/printerSettings" Target="../printerSettings/printerSettings288.bin"/></Relationships>
</file>

<file path=xl/worksheets/_rels/sheet289.xml.rels><?xml version="1.0" encoding="UTF-8" standalone="yes"?>
<Relationships xmlns="http://schemas.openxmlformats.org/package/2006/relationships"><Relationship Id="rId2" Type="http://schemas.openxmlformats.org/officeDocument/2006/relationships/drawing" Target="../drawings/drawing289.xml"/><Relationship Id="rId1" Type="http://schemas.openxmlformats.org/officeDocument/2006/relationships/printerSettings" Target="../printerSettings/printerSettings289.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29.bin"/><Relationship Id="rId3" Type="http://schemas.openxmlformats.org/officeDocument/2006/relationships/hyperlink" Target="https://nunatsiaq.com/stories/article/gn-announces-schedule-to-lift-covid-19-restrictions/" TargetMode="External"/><Relationship Id="rId7" Type="http://schemas.openxmlformats.org/officeDocument/2006/relationships/hyperlink" Target="https://globalnews.ca/news/8692363/ns-covid-19-march-18-2022/" TargetMode="External"/><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cabinradio.ca/87917/news/health/coronavirus/nwt-releases-new-data-on-the-most-severe-covid-19-cases/" TargetMode="External"/><Relationship Id="rId6" Type="http://schemas.openxmlformats.org/officeDocument/2006/relationships/hyperlink" Target="https://globalnews.ca/news/8690886/covid-19-cases-saskatchewan-update-march-17/" TargetMode="External"/><Relationship Id="rId5" Type="http://schemas.openxmlformats.org/officeDocument/2006/relationships/hyperlink" Target="https://www.cbc.ca/news/canada/new-brunswick/covid-19-vitalite-hospitals-red-alert-restrictions-health-care-workers-deficit-1.6387221" TargetMode="External"/><Relationship Id="rId4" Type="http://schemas.openxmlformats.org/officeDocument/2006/relationships/hyperlink" Target="https://www.cbc.ca/news/canada/newfoundland-labrador/covid-nl-record-high-hospitalizations-1.6392073" TargetMode="External"/><Relationship Id="rId9" Type="http://schemas.openxmlformats.org/officeDocument/2006/relationships/drawing" Target="../drawings/drawing29.xml"/></Relationships>
</file>

<file path=xl/worksheets/_rels/sheet290.xml.rels><?xml version="1.0" encoding="UTF-8" standalone="yes"?>
<Relationships xmlns="http://schemas.openxmlformats.org/package/2006/relationships"><Relationship Id="rId2" Type="http://schemas.openxmlformats.org/officeDocument/2006/relationships/drawing" Target="../drawings/drawing290.xml"/><Relationship Id="rId1" Type="http://schemas.openxmlformats.org/officeDocument/2006/relationships/printerSettings" Target="../printerSettings/printerSettings290.bin"/></Relationships>
</file>

<file path=xl/worksheets/_rels/sheet291.xml.rels><?xml version="1.0" encoding="UTF-8" standalone="yes"?>
<Relationships xmlns="http://schemas.openxmlformats.org/package/2006/relationships"><Relationship Id="rId2" Type="http://schemas.openxmlformats.org/officeDocument/2006/relationships/drawing" Target="../drawings/drawing291.xml"/><Relationship Id="rId1" Type="http://schemas.openxmlformats.org/officeDocument/2006/relationships/printerSettings" Target="../printerSettings/printerSettings291.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s://nunatsiaq.com/stories/article/iqaluits-brewery-sees-opportunity-challenges-in-easing-of-covid-19-restrictions/" TargetMode="External"/><Relationship Id="rId7" Type="http://schemas.openxmlformats.org/officeDocument/2006/relationships/hyperlink" Target="https://www.collingwoodtoday.ca/local-news/ontario-covid-cases-decrease-showing-break-in-seventh-wave-5588049" TargetMode="External"/><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cabinradio.ca/100576/news/health/whats-the-nwts-covid-19-situation-its-kinda-hard-to-tell/" TargetMode="External"/><Relationship Id="rId6" Type="http://schemas.openxmlformats.org/officeDocument/2006/relationships/hyperlink" Target="https://www.gov.mb.ca/health/publichealth/surveillance/covid-19/index.html" TargetMode="External"/><Relationship Id="rId5" Type="http://schemas.openxmlformats.org/officeDocument/2006/relationships/hyperlink" Target="https://www.saskatchewan.ca/government/health-care-administration-and-provider-resources/treatment-procedures-and-guidelines/emerging-public-health-issues/2019-novel-coronavirus/cases-and-risk-of-covid-19-in-saskatchewan" TargetMode="External"/><Relationship Id="rId4" Type="http://schemas.openxmlformats.org/officeDocument/2006/relationships/hyperlink" Target="https://www2.gnb.ca/content/gnb/en/corporate/promo/covid-19/COVIDWATCH.html" TargetMode="External"/><Relationship Id="rId9"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30.bin"/><Relationship Id="rId3" Type="http://schemas.openxmlformats.org/officeDocument/2006/relationships/hyperlink" Target="https://nunatsiaq.com/stories/article/gn-announces-schedule-to-lift-covid-19-restrictions/" TargetMode="External"/><Relationship Id="rId7" Type="http://schemas.openxmlformats.org/officeDocument/2006/relationships/hyperlink" Target="https://globalnews.ca/news/8692363/ns-covid-19-march-18-2022/" TargetMode="External"/><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cabinradio.ca/87917/news/health/coronavirus/nwt-releases-new-data-on-the-most-severe-covid-19-cases/" TargetMode="External"/><Relationship Id="rId6" Type="http://schemas.openxmlformats.org/officeDocument/2006/relationships/hyperlink" Target="https://globalnews.ca/news/8690886/covid-19-cases-saskatchewan-update-march-17/" TargetMode="External"/><Relationship Id="rId5" Type="http://schemas.openxmlformats.org/officeDocument/2006/relationships/hyperlink" Target="https://www.cbc.ca/news/canada/new-brunswick/covid-19-vitalite-hospitals-red-alert-restrictions-health-care-workers-deficit-1.6387221" TargetMode="External"/><Relationship Id="rId4" Type="http://schemas.openxmlformats.org/officeDocument/2006/relationships/hyperlink" Target="https://www.cbc.ca/news/canada/newfoundland-labrador/nl-covid-19-march-18-22-1.6389929" TargetMode="External"/><Relationship Id="rId9"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31.bin"/><Relationship Id="rId3" Type="http://schemas.openxmlformats.org/officeDocument/2006/relationships/hyperlink" Target="https://nunatsiaq.com/stories/article/gn-announces-schedule-to-lift-covid-19-restrictions/" TargetMode="External"/><Relationship Id="rId7" Type="http://schemas.openxmlformats.org/officeDocument/2006/relationships/hyperlink" Target="https://www.cbc.ca/news/canada/nova-scotia/nova-scotia-covid-19-update-march-10-2022-1.6380049" TargetMode="External"/><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cabinradio.ca/86443/news/health/coronavirus/public-health-emergency-ending-april-1-health-minister-says/" TargetMode="External"/><Relationship Id="rId6" Type="http://schemas.openxmlformats.org/officeDocument/2006/relationships/hyperlink" Target="https://globalnews.ca/news/8673531/covid-19-saskatchewan-update-march-10/" TargetMode="External"/><Relationship Id="rId5" Type="http://schemas.openxmlformats.org/officeDocument/2006/relationships/hyperlink" Target="https://www.cbc.ca/news/canada/new-brunswick/covid-19-new-brunswick-dashboard-update-1.6385587" TargetMode="External"/><Relationship Id="rId4" Type="http://schemas.openxmlformats.org/officeDocument/2006/relationships/hyperlink" Target="https://vocm.com/2022/03/11/nl-covid-update-4/" TargetMode="External"/><Relationship Id="rId9"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32.bin"/><Relationship Id="rId3" Type="http://schemas.openxmlformats.org/officeDocument/2006/relationships/hyperlink" Target="https://nunatsiaq.com/stories/article/gn-announces-schedule-to-lift-covid-19-restrictions/" TargetMode="External"/><Relationship Id="rId7" Type="http://schemas.openxmlformats.org/officeDocument/2006/relationships/hyperlink" Target="https://www.cbc.ca/news/canada/nova-scotia/nova-scotia-covid-19-update-march-10-2022-1.6380049" TargetMode="External"/><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cabinradio.ca/86443/news/health/coronavirus/public-health-emergency-ending-april-1-health-minister-says/" TargetMode="External"/><Relationship Id="rId6" Type="http://schemas.openxmlformats.org/officeDocument/2006/relationships/hyperlink" Target="https://www.cbc.ca/news/canada/saskatchewan/13-more-covid-19-deaths-hospitalizations-remain-high-1.6380386" TargetMode="External"/><Relationship Id="rId5" Type="http://schemas.openxmlformats.org/officeDocument/2006/relationships/hyperlink" Target="https://www.cbc.ca/news/canada/new-brunswick/covid-19-new-brunswick-health-care-workers-off-horizon-vitalite-1.6381324" TargetMode="External"/><Relationship Id="rId4" Type="http://schemas.openxmlformats.org/officeDocument/2006/relationships/hyperlink" Target="https://www.cbc.ca/news/canada/newfoundland-labrador/covid-nl-march-9-2022-1.6378193" TargetMode="External"/><Relationship Id="rId9"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8" Type="http://schemas.openxmlformats.org/officeDocument/2006/relationships/drawing" Target="../drawings/drawing33.xml"/><Relationship Id="rId3" Type="http://schemas.openxmlformats.org/officeDocument/2006/relationships/hyperlink" Target="https://nunatsiaq.com/stories/article/kimmirut-sees-1st-covid-19-case-since-january/" TargetMode="External"/><Relationship Id="rId7" Type="http://schemas.openxmlformats.org/officeDocument/2006/relationships/printerSettings" Target="../printerSettings/printerSettings33.bin"/><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cabinradio.ca/86443/news/health/coronavirus/public-health-emergency-ending-april-1-health-minister-says/" TargetMode="External"/><Relationship Id="rId6" Type="http://schemas.openxmlformats.org/officeDocument/2006/relationships/hyperlink" Target="https://leaderpost.com/news/saskatchewan/sask-faces-pressure-for-ending-daily-covid-19-updates" TargetMode="External"/><Relationship Id="rId5" Type="http://schemas.openxmlformats.org/officeDocument/2006/relationships/hyperlink" Target="https://www.cbc.ca/news/canada/new-brunswick/covid-19-new-brunswick-dashboard-march-weekly-1.6376235" TargetMode="External"/><Relationship Id="rId4" Type="http://schemas.openxmlformats.org/officeDocument/2006/relationships/hyperlink" Target="https://www.cbc.ca/news/canada/newfoundland-labrador/nl-covid-19-march-7-22-1.6375681" TargetMode="External"/></Relationships>
</file>

<file path=xl/worksheets/_rels/sheet34.xml.rels><?xml version="1.0" encoding="UTF-8" standalone="yes"?>
<Relationships xmlns="http://schemas.openxmlformats.org/package/2006/relationships"><Relationship Id="rId8" Type="http://schemas.openxmlformats.org/officeDocument/2006/relationships/drawing" Target="../drawings/drawing34.xml"/><Relationship Id="rId3" Type="http://schemas.openxmlformats.org/officeDocument/2006/relationships/hyperlink" Target="https://nunatsiaq.com/stories/article/kimmirut-sees-1st-covid-19-case-since-january/" TargetMode="External"/><Relationship Id="rId7" Type="http://schemas.openxmlformats.org/officeDocument/2006/relationships/printerSettings" Target="../printerSettings/printerSettings34.bin"/><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cabinradio.ca/86443/news/health/coronavirus/public-health-emergency-ending-april-1-health-minister-says/" TargetMode="External"/><Relationship Id="rId6" Type="http://schemas.openxmlformats.org/officeDocument/2006/relationships/hyperlink" Target="https://www.cbc.ca/news/canada/saskatchewan/sask-leg-sitting-preview-1.6372879" TargetMode="External"/><Relationship Id="rId5" Type="http://schemas.openxmlformats.org/officeDocument/2006/relationships/hyperlink" Target="https://www.cbc.ca/news/canada/new-brunswick/covid-19-new-brunswick-cruise-ships-businesses-restrictions-1.6375369" TargetMode="External"/><Relationship Id="rId4" Type="http://schemas.openxmlformats.org/officeDocument/2006/relationships/hyperlink" Target="https://www.cbc.ca/news/canada/newfoundland-labrador/nl-covid-19-march-7-22-1.6375681" TargetMode="External"/></Relationships>
</file>

<file path=xl/worksheets/_rels/sheet35.xml.rels><?xml version="1.0" encoding="UTF-8" standalone="yes"?>
<Relationships xmlns="http://schemas.openxmlformats.org/package/2006/relationships"><Relationship Id="rId8" Type="http://schemas.openxmlformats.org/officeDocument/2006/relationships/drawing" Target="../drawings/drawing35.xml"/><Relationship Id="rId3" Type="http://schemas.openxmlformats.org/officeDocument/2006/relationships/hyperlink" Target="https://nunatsiaq.com/stories/article/kimmirut-sees-1st-covid-19-case-since-january/" TargetMode="External"/><Relationship Id="rId7" Type="http://schemas.openxmlformats.org/officeDocument/2006/relationships/printerSettings" Target="../printerSettings/printerSettings35.bin"/><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cabinradio.ca/86443/news/health/coronavirus/public-health-emergency-ending-april-1-health-minister-says/" TargetMode="External"/><Relationship Id="rId6" Type="http://schemas.openxmlformats.org/officeDocument/2006/relationships/hyperlink" Target="https://regina.ctvnews.ca/44-covid-19-deaths-reported-in-sask-last-week-1.5804452" TargetMode="External"/><Relationship Id="rId5" Type="http://schemas.openxmlformats.org/officeDocument/2006/relationships/hyperlink" Target="https://www.cbc.ca/news/canada/new-brunswick/covid-19-new-brunswick-business-compliance-rules-higgs-satisfaction-poll-1.6372669" TargetMode="External"/><Relationship Id="rId4" Type="http://schemas.openxmlformats.org/officeDocument/2006/relationships/hyperlink" Target="https://www.cbc.ca/news/canada/newfoundland-labrador/nl-covid-19-march-4-22-1.6373085" TargetMode="External"/></Relationships>
</file>

<file path=xl/worksheets/_rels/sheet36.xml.rels><?xml version="1.0" encoding="UTF-8" standalone="yes"?>
<Relationships xmlns="http://schemas.openxmlformats.org/package/2006/relationships"><Relationship Id="rId8" Type="http://schemas.openxmlformats.org/officeDocument/2006/relationships/drawing" Target="../drawings/drawing36.xml"/><Relationship Id="rId3" Type="http://schemas.openxmlformats.org/officeDocument/2006/relationships/hyperlink" Target="https://nunatsiaq.com/stories/article/covid-19-exposure-issued-for-naujaat-wedding/" TargetMode="External"/><Relationship Id="rId7" Type="http://schemas.openxmlformats.org/officeDocument/2006/relationships/printerSettings" Target="../printerSettings/printerSettings36.bin"/><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cabinradio.ca/86443/news/health/coronavirus/public-health-emergency-ending-april-1-health-minister-says/" TargetMode="External"/><Relationship Id="rId6" Type="http://schemas.openxmlformats.org/officeDocument/2006/relationships/hyperlink" Target="https://edmontonsun.com/news/saskatchewan/saskatchewan-first-furthest-in-dropping-covid-19-measures/wcm/42bf5fb3-5c04-4a3a-9959-fae8168c2e4f" TargetMode="External"/><Relationship Id="rId5" Type="http://schemas.openxmlformats.org/officeDocument/2006/relationships/hyperlink" Target="https://www.cbc.ca/news/canada/new-brunswick/covid-19-new-brunswick-doctors-unvaccinated-omicron-ba-2-1.6369317" TargetMode="External"/><Relationship Id="rId4" Type="http://schemas.openxmlformats.org/officeDocument/2006/relationships/hyperlink" Target="https://www.cbc.ca/news/canada/newfoundland-labrador/covid-nl-march-2-2022-1.6369624" TargetMode="External"/></Relationships>
</file>

<file path=xl/worksheets/_rels/sheet37.xml.rels><?xml version="1.0" encoding="UTF-8" standalone="yes"?>
<Relationships xmlns="http://schemas.openxmlformats.org/package/2006/relationships"><Relationship Id="rId8" Type="http://schemas.openxmlformats.org/officeDocument/2006/relationships/drawing" Target="../drawings/drawing37.xml"/><Relationship Id="rId3" Type="http://schemas.openxmlformats.org/officeDocument/2006/relationships/hyperlink" Target="https://nunatsiaq.com/stories/article/covid-19-exposure-issued-for-naujaat-wedding/" TargetMode="External"/><Relationship Id="rId7" Type="http://schemas.openxmlformats.org/officeDocument/2006/relationships/printerSettings" Target="../printerSettings/printerSettings37.bin"/><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cabinradio.ca/86261/news/health/coronavirus/nwt-reports-19th-covid-19-death/" TargetMode="External"/><Relationship Id="rId6" Type="http://schemas.openxmlformats.org/officeDocument/2006/relationships/hyperlink" Target="https://globalnews.ca/news/8643802/covid-19-saskatchewan-update-february-24/" TargetMode="External"/><Relationship Id="rId5" Type="http://schemas.openxmlformats.org/officeDocument/2006/relationships/hyperlink" Target="https://globalnews.ca/news/8643046/nb-covid-19-update-feb-24-2022/" TargetMode="External"/><Relationship Id="rId4" Type="http://schemas.openxmlformats.org/officeDocument/2006/relationships/hyperlink" Target="https://www.cbc.ca/news/canada/newfoundland-labrador/covid-nl-feb-24-2022-1.6362827" TargetMode="External"/></Relationships>
</file>

<file path=xl/worksheets/_rels/sheet38.xml.rels><?xml version="1.0" encoding="UTF-8" standalone="yes"?>
<Relationships xmlns="http://schemas.openxmlformats.org/package/2006/relationships"><Relationship Id="rId8" Type="http://schemas.openxmlformats.org/officeDocument/2006/relationships/drawing" Target="../drawings/drawing38.xml"/><Relationship Id="rId3" Type="http://schemas.openxmlformats.org/officeDocument/2006/relationships/hyperlink" Target="https://nunatsiaq.com/stories/article/covid-19-exposure-issued-for-naujaat-wedding/" TargetMode="External"/><Relationship Id="rId7" Type="http://schemas.openxmlformats.org/officeDocument/2006/relationships/printerSettings" Target="../printerSettings/printerSettings38.bin"/><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cabinradio.ca/86261/news/health/coronavirus/nwt-reports-19th-covid-19-death/" TargetMode="External"/><Relationship Id="rId6" Type="http://schemas.openxmlformats.org/officeDocument/2006/relationships/hyperlink" Target="https://leaderpost.com/news/saskatchewan/moe-comments-on-sask-covid-situation/wcm/4741242a-ab2c-45b8-bb59-313431f51fd0" TargetMode="External"/><Relationship Id="rId5" Type="http://schemas.openxmlformats.org/officeDocument/2006/relationships/hyperlink" Target="https://www.cbc.ca/news/canada/new-brunswick/covid-19-pandemic-health-1.6360128" TargetMode="External"/><Relationship Id="rId4" Type="http://schemas.openxmlformats.org/officeDocument/2006/relationships/hyperlink" Target="https://ca.news.yahoo.com/n-l-marks-deadliest-month-180447595.html" TargetMode="External"/></Relationships>
</file>

<file path=xl/worksheets/_rels/sheet39.xml.rels><?xml version="1.0" encoding="UTF-8" standalone="yes"?>
<Relationships xmlns="http://schemas.openxmlformats.org/package/2006/relationships"><Relationship Id="rId8" Type="http://schemas.openxmlformats.org/officeDocument/2006/relationships/drawing" Target="../drawings/drawing39.xml"/><Relationship Id="rId3" Type="http://schemas.openxmlformats.org/officeDocument/2006/relationships/hyperlink" Target="https://nunatsiaq.com/stories/article/covid-19-exposure-issued-for-naujaat-wedding/" TargetMode="External"/><Relationship Id="rId7" Type="http://schemas.openxmlformats.org/officeDocument/2006/relationships/printerSettings" Target="../printerSettings/printerSettings39.bin"/><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cabinradio.ca/86017/news/health/coronavirus/coroner-confirms-additional-covid-19-death-stats-remain-unchanged/" TargetMode="External"/><Relationship Id="rId6" Type="http://schemas.openxmlformats.org/officeDocument/2006/relationships/hyperlink" Target="https://regina.ctvnews.ca/covid-19-deaths-could-still-rise-as-hospitalizations-peak-in-regina-saskatoon-cmho-1.5786020" TargetMode="External"/><Relationship Id="rId5" Type="http://schemas.openxmlformats.org/officeDocument/2006/relationships/hyperlink" Target="https://www.cbc.ca/news/canada/new-brunswick/covid-19-new-brunswick-level-1-booster-dose-1.6355975" TargetMode="External"/><Relationship Id="rId4" Type="http://schemas.openxmlformats.org/officeDocument/2006/relationships/hyperlink" Target="https://www.thestar.com/news/canada/2022/02/18/covid-19-hospitalizations-drop-in-nl-234-new-cases-confirmed.html" TargetMode="Externa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https://nunatsiaq.com/stories/article/iqaluits-brewery-sees-opportunity-challenges-in-easing-of-covid-19-restrictions/" TargetMode="External"/><Relationship Id="rId7" Type="http://schemas.openxmlformats.org/officeDocument/2006/relationships/hyperlink" Target="https://toronto.ctvnews.ca/growth-in-covid-19-hospitalizations-slows-in-ontario-but-officials-say-trend-of-increasing-deaths-now-evident-1.6006779" TargetMode="External"/><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www.cbc.ca/news/canada/north/kami-kandola-covid-19-andy-delli-pizzi-1.6512934" TargetMode="External"/><Relationship Id="rId6" Type="http://schemas.openxmlformats.org/officeDocument/2006/relationships/hyperlink" Target="https://www.gov.mb.ca/health/publichealth/surveillance/covid-19/index.html" TargetMode="External"/><Relationship Id="rId5" Type="http://schemas.openxmlformats.org/officeDocument/2006/relationships/hyperlink" Target="https://www.saskatchewan.ca/government/health-care-administration-and-provider-resources/treatment-procedures-and-guidelines/emerging-public-health-issues/2019-novel-coronavirus/cases-and-risk-of-covid-19-in-saskatchewan" TargetMode="External"/><Relationship Id="rId4" Type="http://schemas.openxmlformats.org/officeDocument/2006/relationships/hyperlink" Target="https://www2.gnb.ca/content/gnb/en/corporate/promo/covid-19/COVIDWATCH.html" TargetMode="External"/><Relationship Id="rId9"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8" Type="http://schemas.openxmlformats.org/officeDocument/2006/relationships/drawing" Target="../drawings/drawing40.xml"/><Relationship Id="rId3" Type="http://schemas.openxmlformats.org/officeDocument/2006/relationships/hyperlink" Target="https://nunatsiaq.com/stories/article/nunavuts-total-covid-19-hospitalizations-rises-to-22/" TargetMode="External"/><Relationship Id="rId7" Type="http://schemas.openxmlformats.org/officeDocument/2006/relationships/printerSettings" Target="../printerSettings/printerSettings40.bin"/><Relationship Id="rId2" Type="http://schemas.openxmlformats.org/officeDocument/2006/relationships/hyperlink" Target="https://www.cbc.ca/news/world/coronavirus-covid19-canada-world-feb15-2022-1.6352017" TargetMode="External"/><Relationship Id="rId1" Type="http://schemas.openxmlformats.org/officeDocument/2006/relationships/hyperlink" Target="https://cabinradio.ca/85850/news/yellowknife/covid-19-outbreaks-declared-at-yellowknife-fort-smith-jails/" TargetMode="External"/><Relationship Id="rId6" Type="http://schemas.openxmlformats.org/officeDocument/2006/relationships/hyperlink" Target="https://thestarphoenix.com/news/saskatchewan/covid-19-sask-hospitalizations-climb-some-surgeries-affected" TargetMode="External"/><Relationship Id="rId5" Type="http://schemas.openxmlformats.org/officeDocument/2006/relationships/hyperlink" Target="https://www.cbc.ca/news/canada/new-brunswick/covid-19-new-brunswick-vaccination-mandate-government-employees-review-1.6353559" TargetMode="External"/><Relationship Id="rId4" Type="http://schemas.openxmlformats.org/officeDocument/2006/relationships/hyperlink" Target="https://www.cbc.ca/news/canada/newfoundland-labrador/nl-covid-19-february-15-22-1.6352439" TargetMode="External"/></Relationships>
</file>

<file path=xl/worksheets/_rels/sheet41.xml.rels><?xml version="1.0" encoding="UTF-8" standalone="yes"?>
<Relationships xmlns="http://schemas.openxmlformats.org/package/2006/relationships"><Relationship Id="rId8" Type="http://schemas.openxmlformats.org/officeDocument/2006/relationships/drawing" Target="../drawings/drawing41.xml"/><Relationship Id="rId3" Type="http://schemas.openxmlformats.org/officeDocument/2006/relationships/hyperlink" Target="https://nunatsiaq.com/stories/article/over-1000-cases-of-covid-19-recovered-in-nunavut-this-wave/" TargetMode="External"/><Relationship Id="rId7" Type="http://schemas.openxmlformats.org/officeDocument/2006/relationships/printerSettings" Target="../printerSettings/printerSettings41.bin"/><Relationship Id="rId2" Type="http://schemas.openxmlformats.org/officeDocument/2006/relationships/hyperlink" Target="https://www.cbc.ca/news/world/coronavirus-covid19-canada-world-feb11-2022-1.6347736" TargetMode="External"/><Relationship Id="rId1" Type="http://schemas.openxmlformats.org/officeDocument/2006/relationships/hyperlink" Target="https://cabinradio.ca/85638/news/health/coronavirus/covid-19-outbreak-declared-at-mildred-hall-school/" TargetMode="External"/><Relationship Id="rId6" Type="http://schemas.openxmlformats.org/officeDocument/2006/relationships/hyperlink" Target="https://globalnews.ca/news/8617194/saskatchewan-proof-of-vaccination-ends/" TargetMode="External"/><Relationship Id="rId5" Type="http://schemas.openxmlformats.org/officeDocument/2006/relationships/hyperlink" Target="https://www.cbc.ca/news/canada/new-brunswick/covid-roundup-nb-4-deaths-1.6350219" TargetMode="External"/><Relationship Id="rId4" Type="http://schemas.openxmlformats.org/officeDocument/2006/relationships/hyperlink" Target="https://www.cbc.ca/news/canada/newfoundland-labrador/covid-hospital-newfoundland-record-update-cases-1.6350294" TargetMode="External"/></Relationships>
</file>

<file path=xl/worksheets/_rels/sheet42.xml.rels><?xml version="1.0" encoding="UTF-8" standalone="yes"?>
<Relationships xmlns="http://schemas.openxmlformats.org/package/2006/relationships"><Relationship Id="rId8" Type="http://schemas.openxmlformats.org/officeDocument/2006/relationships/drawing" Target="../drawings/drawing42.xml"/><Relationship Id="rId3" Type="http://schemas.openxmlformats.org/officeDocument/2006/relationships/hyperlink" Target="https://nunatsiaq.com/stories/article/over-1000-cases-of-covid-19-recovered-in-nunavut-this-wave/" TargetMode="External"/><Relationship Id="rId7" Type="http://schemas.openxmlformats.org/officeDocument/2006/relationships/printerSettings" Target="../printerSettings/printerSettings42.bin"/><Relationship Id="rId2" Type="http://schemas.openxmlformats.org/officeDocument/2006/relationships/hyperlink" Target="https://www.cbc.ca/news/world/coronavirus-covid19-canada-world-feb11-2022-1.6347736" TargetMode="External"/><Relationship Id="rId1" Type="http://schemas.openxmlformats.org/officeDocument/2006/relationships/hyperlink" Target="https://cabinradio.ca/85638/news/health/coronavirus/covid-19-outbreak-declared-at-mildred-hall-school/" TargetMode="External"/><Relationship Id="rId6" Type="http://schemas.openxmlformats.org/officeDocument/2006/relationships/hyperlink" Target="https://www.cbc.ca/news/world/coronavirus-covid19-canada-world-feb11-2022-1.6347736" TargetMode="External"/><Relationship Id="rId5" Type="http://schemas.openxmlformats.org/officeDocument/2006/relationships/hyperlink" Target="https://globalnews.ca/news/8613030/nb-covid-19-feb-11-2022/" TargetMode="External"/><Relationship Id="rId4" Type="http://schemas.openxmlformats.org/officeDocument/2006/relationships/hyperlink" Target="https://www.cbc.ca/news/world/coronavirus-covid19-canada-world-feb11-2022-1.6347736" TargetMode="External"/></Relationships>
</file>

<file path=xl/worksheets/_rels/sheet43.xml.rels><?xml version="1.0" encoding="UTF-8" standalone="yes"?>
<Relationships xmlns="http://schemas.openxmlformats.org/package/2006/relationships"><Relationship Id="rId3" Type="http://schemas.openxmlformats.org/officeDocument/2006/relationships/hyperlink" Target="https://nunatsiaq.com/stories/article/covid-19-detected-in-resolute-bay/" TargetMode="External"/><Relationship Id="rId7" Type="http://schemas.openxmlformats.org/officeDocument/2006/relationships/drawing" Target="../drawings/drawing43.xml"/><Relationship Id="rId2" Type="http://schemas.openxmlformats.org/officeDocument/2006/relationships/hyperlink" Target="https://www.cbc.ca/news/world/coronavirus-covid19-canada-world-feb8-2022-1.6343326" TargetMode="External"/><Relationship Id="rId1" Type="http://schemas.openxmlformats.org/officeDocument/2006/relationships/hyperlink" Target="https://www.nnsl.com/news/covid-19-cases-and-exposures-update-update-february-8/" TargetMode="External"/><Relationship Id="rId6" Type="http://schemas.openxmlformats.org/officeDocument/2006/relationships/printerSettings" Target="../printerSettings/printerSettings43.bin"/><Relationship Id="rId5" Type="http://schemas.openxmlformats.org/officeDocument/2006/relationships/hyperlink" Target="https://www.cbc.ca/news/canada/new-brunswick/covid-19-new-brunswick-higgs-protest-fredericton-restrictions-1.6342955" TargetMode="External"/><Relationship Id="rId4" Type="http://schemas.openxmlformats.org/officeDocument/2006/relationships/hyperlink" Target="https://www.saltwire.com/atlantic-canada/news/two-covid-19-related-deaths-and-210-new-cases-as-nl-prepares-to-ease-more-restrictions-and-scrap-alert-level-system-100690574/"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s://nunatsiaq.com/stories/article/active-covid-19-cases-in-nunavut-climb-to-540/" TargetMode="External"/><Relationship Id="rId7" Type="http://schemas.openxmlformats.org/officeDocument/2006/relationships/drawing" Target="../drawings/drawing44.xml"/><Relationship Id="rId2" Type="http://schemas.openxmlformats.org/officeDocument/2006/relationships/hyperlink" Target="https://www.cbc.ca/news/canada/north/yukon-plan-loosen-covid-19-restrictions-1.6337587" TargetMode="External"/><Relationship Id="rId1" Type="http://schemas.openxmlformats.org/officeDocument/2006/relationships/hyperlink" Target="https://cabinradio.ca/85362/news/health/coronavirus/covid-19-outbreak-at-stanton-extended-care-yk-gym/" TargetMode="External"/><Relationship Id="rId6" Type="http://schemas.openxmlformats.org/officeDocument/2006/relationships/printerSettings" Target="../printerSettings/printerSettings44.bin"/><Relationship Id="rId5" Type="http://schemas.openxmlformats.org/officeDocument/2006/relationships/hyperlink" Target="https://atlantic.ctvnews.ca/n-b-reports-4-new-covid-19-related-deaths-monday-hospitalizations-drop-1.5771175" TargetMode="External"/><Relationship Id="rId4" Type="http://schemas.openxmlformats.org/officeDocument/2006/relationships/hyperlink" Target="https://www.cbc.ca/news/world/coronavirus-covid19-canada-world-feb7-2022-1.6342066" TargetMode="External"/></Relationships>
</file>

<file path=xl/worksheets/_rels/sheet45.xml.rels><?xml version="1.0" encoding="UTF-8" standalone="yes"?>
<Relationships xmlns="http://schemas.openxmlformats.org/package/2006/relationships"><Relationship Id="rId3" Type="http://schemas.openxmlformats.org/officeDocument/2006/relationships/hyperlink" Target="https://www.nnsl.com/news/nunavut-approaching-second-year-of-public-health-emergency-related-to-covid-19/" TargetMode="External"/><Relationship Id="rId7" Type="http://schemas.openxmlformats.org/officeDocument/2006/relationships/drawing" Target="../drawings/drawing45.xml"/><Relationship Id="rId2" Type="http://schemas.openxmlformats.org/officeDocument/2006/relationships/hyperlink" Target="https://www.cbc.ca/news/canada/north/yukon-plan-loosen-covid-19-restrictions-1.6337587" TargetMode="External"/><Relationship Id="rId1" Type="http://schemas.openxmlformats.org/officeDocument/2006/relationships/hyperlink" Target="https://www.nnsl.com/news/two-more-covid-deaths-recorded-thursday-bring-nwt-total-to-17/" TargetMode="External"/><Relationship Id="rId6" Type="http://schemas.openxmlformats.org/officeDocument/2006/relationships/printerSettings" Target="../printerSettings/printerSettings45.bin"/><Relationship Id="rId5" Type="http://schemas.openxmlformats.org/officeDocument/2006/relationships/hyperlink" Target="https://www.cbc.ca/news/canada/new-brunswick/covid-19-new-brunswick-schools-students-education-1.6339008" TargetMode="External"/><Relationship Id="rId4" Type="http://schemas.openxmlformats.org/officeDocument/2006/relationships/hyperlink" Target="https://atlantic.ctvnews.ca/covid-19-hospitalizations-in-n-l-hold-steady-at-20-after-reaching-new-heights-1.5768368"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https://www.cbc.ca/news/canada/north/nunavut-officials-covid-19-update-1.6334570" TargetMode="External"/><Relationship Id="rId7" Type="http://schemas.openxmlformats.org/officeDocument/2006/relationships/drawing" Target="../drawings/drawing46.xml"/><Relationship Id="rId2" Type="http://schemas.openxmlformats.org/officeDocument/2006/relationships/hyperlink" Target="https://www.yukon-news.com/news/schools-and-rural-communities-receiving-rapid-tests-yukon-government/" TargetMode="External"/><Relationship Id="rId1" Type="http://schemas.openxmlformats.org/officeDocument/2006/relationships/hyperlink" Target="https://www.cbc.ca/news/canada/north/new-outbreak-sites-increase-in-hospitalizations-1.6336064" TargetMode="External"/><Relationship Id="rId6" Type="http://schemas.openxmlformats.org/officeDocument/2006/relationships/printerSettings" Target="../printerSettings/printerSettings46.bin"/><Relationship Id="rId5" Type="http://schemas.openxmlformats.org/officeDocument/2006/relationships/hyperlink" Target="https://www.cbc.ca/news/canada/new-brunswick/covid-19-new-brunswick-vaccinations-slow-demand-pharmacists-association-jake-reid-1.6336449" TargetMode="External"/><Relationship Id="rId4" Type="http://schemas.openxmlformats.org/officeDocument/2006/relationships/hyperlink" Target="https://www.cbc.ca/news/canada/newfoundland-labrador/nl-covid-feb-2-22-1.6336723" TargetMode="External"/></Relationships>
</file>

<file path=xl/worksheets/_rels/sheet47.xml.rels><?xml version="1.0" encoding="UTF-8" standalone="yes"?>
<Relationships xmlns="http://schemas.openxmlformats.org/package/2006/relationships"><Relationship Id="rId3" Type="http://schemas.openxmlformats.org/officeDocument/2006/relationships/hyperlink" Target="https://nunatsiaq.com/stories/article/iglooliks-covid-19-case-count-now-highest-in-nunavut/" TargetMode="External"/><Relationship Id="rId7" Type="http://schemas.openxmlformats.org/officeDocument/2006/relationships/drawing" Target="../drawings/drawing47.xml"/><Relationship Id="rId2" Type="http://schemas.openxmlformats.org/officeDocument/2006/relationships/hyperlink" Target="https://www.yukon-news.com/news/schools-and-rural-communities-receiving-rapid-tests-yukon-government/" TargetMode="External"/><Relationship Id="rId1" Type="http://schemas.openxmlformats.org/officeDocument/2006/relationships/hyperlink" Target="https://cabinradio.ca/84914/news/health/coronavirus/behchok%C7%AB-seniors-home-listed-as-covid-19-outbreak-site/" TargetMode="External"/><Relationship Id="rId6" Type="http://schemas.openxmlformats.org/officeDocument/2006/relationships/printerSettings" Target="../printerSettings/printerSettings47.bin"/><Relationship Id="rId5" Type="http://schemas.openxmlformats.org/officeDocument/2006/relationships/hyperlink" Target="https://www.cbc.ca/news/canada/new-brunswick/covid-roundup-nb-new-deaths-1.6333013" TargetMode="External"/><Relationship Id="rId4" Type="http://schemas.openxmlformats.org/officeDocument/2006/relationships/hyperlink" Target="https://www.cbc.ca/news/world/coronavirus-covid19-canada-world-jan31-22-1.6333414" TargetMode="External"/></Relationships>
</file>

<file path=xl/worksheets/_rels/sheet48.xml.rels><?xml version="1.0" encoding="UTF-8" standalone="yes"?>
<Relationships xmlns="http://schemas.openxmlformats.org/package/2006/relationships"><Relationship Id="rId3" Type="http://schemas.openxmlformats.org/officeDocument/2006/relationships/hyperlink" Target="https://nunatsiaq.com/stories/article/iglooliks-covid-19-case-count-now-highest-in-nunavut/" TargetMode="External"/><Relationship Id="rId7" Type="http://schemas.openxmlformats.org/officeDocument/2006/relationships/drawing" Target="../drawings/drawing48.xml"/><Relationship Id="rId2" Type="http://schemas.openxmlformats.org/officeDocument/2006/relationships/hyperlink" Target="https://www.yukon-news.com/news/schools-and-rural-communities-receiving-rapid-tests-yukon-government/" TargetMode="External"/><Relationship Id="rId1" Type="http://schemas.openxmlformats.org/officeDocument/2006/relationships/hyperlink" Target="https://cabinradio.ca/84914/news/health/coronavirus/behchok%C7%AB-seniors-home-listed-as-covid-19-outbreak-site/" TargetMode="External"/><Relationship Id="rId6" Type="http://schemas.openxmlformats.org/officeDocument/2006/relationships/printerSettings" Target="../printerSettings/printerSettings48.bin"/><Relationship Id="rId5" Type="http://schemas.openxmlformats.org/officeDocument/2006/relationships/hyperlink" Target="https://www.cbc.ca/news/world/coronavirus-covid19-canada-world-january28-22-1.6330876" TargetMode="External"/><Relationship Id="rId4" Type="http://schemas.openxmlformats.org/officeDocument/2006/relationships/hyperlink" Target="https://www.cbc.ca/news/world/coronavirus-covid19-canada-world-january28-22-1.6330876"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www.nnsl.com/news/more-covid-19-cases-expected-in-iglulik-in-the-coming-days-exposure-at-new-iqaluit-jail/" TargetMode="External"/><Relationship Id="rId7" Type="http://schemas.openxmlformats.org/officeDocument/2006/relationships/drawing" Target="../drawings/drawing49.xml"/><Relationship Id="rId2" Type="http://schemas.openxmlformats.org/officeDocument/2006/relationships/hyperlink" Target="https://www.yukon-news.com/news/schools-and-rural-communities-receiving-rapid-tests-yukon-government/" TargetMode="External"/><Relationship Id="rId1" Type="http://schemas.openxmlformats.org/officeDocument/2006/relationships/hyperlink" Target="https://cabinradio.ca/84736/news/health/coronavirus/nwt-reports-new-hospitalization-icu-admission-amid-slight-drop-in-cases/" TargetMode="External"/><Relationship Id="rId6" Type="http://schemas.openxmlformats.org/officeDocument/2006/relationships/printerSettings" Target="../printerSettings/printerSettings49.bin"/><Relationship Id="rId5" Type="http://schemas.openxmlformats.org/officeDocument/2006/relationships/hyperlink" Target="https://www.cbc.ca/news/world/coronavirus-covid19-canada-world-jan26-2022-1.6327930" TargetMode="External"/><Relationship Id="rId4" Type="http://schemas.openxmlformats.org/officeDocument/2006/relationships/hyperlink" Target="https://www.cbc.ca/news/canada/newfoundland-labrador/nl-covid-january-25-22-1.6326833" TargetMode="Externa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nunatsiaq.com/stories/article/iqaluits-brewery-sees-opportunity-challenges-in-easing-of-covid-19-restrictions/" TargetMode="External"/><Relationship Id="rId7" Type="http://schemas.openxmlformats.org/officeDocument/2006/relationships/hyperlink" Target="https://toronto.ctvnews.ca/ontario-reports-62-new-covid-19-deaths-positivity-appears-to-hit-peak-1.5997265" TargetMode="External"/><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www.cbc.ca/news/canada/north/kami-kandola-covid-19-andy-delli-pizzi-1.6512934" TargetMode="External"/><Relationship Id="rId6" Type="http://schemas.openxmlformats.org/officeDocument/2006/relationships/hyperlink" Target="https://www.gov.mb.ca/health/publichealth/surveillance/covid-19/index.html" TargetMode="External"/><Relationship Id="rId5" Type="http://schemas.openxmlformats.org/officeDocument/2006/relationships/hyperlink" Target="https://www.saskatchewan.ca/government/health-care-administration-and-provider-resources/treatment-procedures-and-guidelines/emerging-public-health-issues/2019-novel-coronavirus/cases-and-risk-of-covid-19-in-saskatchewan" TargetMode="External"/><Relationship Id="rId4" Type="http://schemas.openxmlformats.org/officeDocument/2006/relationships/hyperlink" Target="https://www2.gnb.ca/content/gnb/en/corporate/promo/covid-19/COVIDWATCH.html" TargetMode="External"/><Relationship Id="rId9"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3" Type="http://schemas.openxmlformats.org/officeDocument/2006/relationships/hyperlink" Target="https://nunatsiaq.com/stories/article/nunavuts-chief-public-health-officer-says-covid-19-is-here-to-stay/" TargetMode="External"/><Relationship Id="rId7" Type="http://schemas.openxmlformats.org/officeDocument/2006/relationships/drawing" Target="../drawings/drawing50.xml"/><Relationship Id="rId2" Type="http://schemas.openxmlformats.org/officeDocument/2006/relationships/hyperlink" Target="https://www.whitehorsestar.com/News/no-one-is-hospitalized-with-covid-19-elliott" TargetMode="External"/><Relationship Id="rId1" Type="http://schemas.openxmlformats.org/officeDocument/2006/relationships/hyperlink" Target="https://www.cbc.ca/news/canada/north/n-w-t-covid-19-14th-death-omicron-peak-1.6324079" TargetMode="External"/><Relationship Id="rId6" Type="http://schemas.openxmlformats.org/officeDocument/2006/relationships/printerSettings" Target="../printerSettings/printerSettings50.bin"/><Relationship Id="rId5" Type="http://schemas.openxmlformats.org/officeDocument/2006/relationships/hyperlink" Target="https://atlantic.ctvnews.ca/new-brunswick-reports-two-additional-deaths-related-to-covid-19-sunday-1.5751396" TargetMode="External"/><Relationship Id="rId4" Type="http://schemas.openxmlformats.org/officeDocument/2006/relationships/hyperlink" Target="https://www.cbc.ca/news/canada/newfoundland-labrador/covid-test-positive-hospital-newfoundland-rates-numbers-stats-1.6324780" TargetMode="External"/></Relationships>
</file>

<file path=xl/worksheets/_rels/sheet51.xml.rels><?xml version="1.0" encoding="UTF-8" standalone="yes"?>
<Relationships xmlns="http://schemas.openxmlformats.org/package/2006/relationships"><Relationship Id="rId3" Type="http://schemas.openxmlformats.org/officeDocument/2006/relationships/hyperlink" Target="https://nunatsiaq.com/stories/article/nunavuts-chief-public-health-officer-says-covid-19-is-here-to-stay/" TargetMode="External"/><Relationship Id="rId7" Type="http://schemas.openxmlformats.org/officeDocument/2006/relationships/drawing" Target="../drawings/drawing51.xml"/><Relationship Id="rId2" Type="http://schemas.openxmlformats.org/officeDocument/2006/relationships/hyperlink" Target="https://www.whitehorsestar.com/News/no-one-is-hospitalized-with-covid-19-elliott" TargetMode="External"/><Relationship Id="rId1" Type="http://schemas.openxmlformats.org/officeDocument/2006/relationships/hyperlink" Target="https://www.cbc.ca/news/canada/north/phone-in-trailbreaker-covid-19-1.6320627" TargetMode="External"/><Relationship Id="rId6" Type="http://schemas.openxmlformats.org/officeDocument/2006/relationships/printerSettings" Target="../printerSettings/printerSettings51.bin"/><Relationship Id="rId5" Type="http://schemas.openxmlformats.org/officeDocument/2006/relationships/hyperlink" Target="https://www.cbc.ca/news/canada/new-brunswick/covid-19-new-brunswick-update-higgs-russell-1.6322799" TargetMode="External"/><Relationship Id="rId4" Type="http://schemas.openxmlformats.org/officeDocument/2006/relationships/hyperlink" Target="http://ntv.ca/province-reports-18-people-in-hospital-with-one-in-icu-because-of-covid/" TargetMode="External"/></Relationships>
</file>

<file path=xl/worksheets/_rels/sheet52.xml.rels><?xml version="1.0" encoding="UTF-8" standalone="yes"?>
<Relationships xmlns="http://schemas.openxmlformats.org/package/2006/relationships"><Relationship Id="rId3" Type="http://schemas.openxmlformats.org/officeDocument/2006/relationships/hyperlink" Target="https://nunatsiaq.com/stories/article/nunavut-records-1st-death-from-current-covid-19-outbreak/" TargetMode="External"/><Relationship Id="rId7" Type="http://schemas.openxmlformats.org/officeDocument/2006/relationships/drawing" Target="../drawings/drawing52.xml"/><Relationship Id="rId2" Type="http://schemas.openxmlformats.org/officeDocument/2006/relationships/hyperlink" Target="https://www.thestar.com/news/canada/2022/01/18/new-covid-19-restrictions-take-effect-in-yukon-school-exposure-notices-nixed.html" TargetMode="External"/><Relationship Id="rId1" Type="http://schemas.openxmlformats.org/officeDocument/2006/relationships/hyperlink" Target="https://cabinradio.ca/84295/news/health/coronavirus/nwt-reports-13th-death-of-covid-19-pandemic/" TargetMode="External"/><Relationship Id="rId6" Type="http://schemas.openxmlformats.org/officeDocument/2006/relationships/printerSettings" Target="../printerSettings/printerSettings52.bin"/><Relationship Id="rId5" Type="http://schemas.openxmlformats.org/officeDocument/2006/relationships/hyperlink" Target="https://www.cbc.ca/news/canada/new-brunswick/covid-19-new-brunswick-pfizer-pill-paxlovid-volunteers-1.6319782" TargetMode="External"/><Relationship Id="rId4" Type="http://schemas.openxmlformats.org/officeDocument/2006/relationships/hyperlink" Target="https://www.cbc.ca/news/canada/newfoundland-labrador/nl-covid-19-jan-18-22-1.6319069" TargetMode="External"/></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hyperlink" Target="https://www.cbc.ca/news/canada/north/yukon-officials-covid-19-update-1.6311606" TargetMode="External"/><Relationship Id="rId1" Type="http://schemas.openxmlformats.org/officeDocument/2006/relationships/hyperlink" Target="https://cabinradio.ca/84096/news/health/coronavirus/second-hospital-admission-as-nwt-active-covid-19-cases-reach-1274/" TargetMode="External"/><Relationship Id="rId4"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s://nunatsiaq.com/stories/article/iqaluits-brewery-sees-opportunity-challenges-in-easing-of-covid-19-restrictions/" TargetMode="External"/><Relationship Id="rId7" Type="http://schemas.openxmlformats.org/officeDocument/2006/relationships/hyperlink" Target="https://www.cbc.ca/news/canada/toronto/ontario-covid-update-july-14-2022-1.6520897" TargetMode="External"/><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www.cbc.ca/news/canada/north/kami-kandola-covid-19-andy-delli-pizzi-1.6512934" TargetMode="External"/><Relationship Id="rId6" Type="http://schemas.openxmlformats.org/officeDocument/2006/relationships/hyperlink" Target="https://www.gov.mb.ca/health/publichealth/surveillance/covid-19/index.html" TargetMode="External"/><Relationship Id="rId5" Type="http://schemas.openxmlformats.org/officeDocument/2006/relationships/hyperlink" Target="https://www.saskatchewan.ca/government/health-care-administration-and-provider-resources/treatment-procedures-and-guidelines/emerging-public-health-issues/2019-novel-coronavirus/cases-and-risk-of-covid-19-in-saskatchewan" TargetMode="External"/><Relationship Id="rId4" Type="http://schemas.openxmlformats.org/officeDocument/2006/relationships/hyperlink" Target="https://www2.gnb.ca/content/gnb/en/corporate/promo/covid-19/COVIDWATCH.html" TargetMode="External"/><Relationship Id="rId9"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hyperlink" Target="https://nunatsiaq.com/stories/article/iqaluits-brewery-sees-opportunity-challenges-in-easing-of-covid-19-restrictions/" TargetMode="External"/><Relationship Id="rId7" Type="http://schemas.openxmlformats.org/officeDocument/2006/relationships/hyperlink" Target="https://toronto.ctvnews.ca/covid-19-hospitalizations-up-sharply-in-ontario-positivity-rate-at-highest-level-since-early-may-1.5978858" TargetMode="External"/><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www.cbc.ca/news/canada/north/kami-kandola-covid-19-andy-delli-pizzi-1.6512934" TargetMode="External"/><Relationship Id="rId6" Type="http://schemas.openxmlformats.org/officeDocument/2006/relationships/hyperlink" Target="https://www.gov.mb.ca/health/publichealth/surveillance/covid-19/index.html" TargetMode="External"/><Relationship Id="rId5" Type="http://schemas.openxmlformats.org/officeDocument/2006/relationships/hyperlink" Target="https://www.saskatchewan.ca/government/health-care-administration-and-provider-resources/treatment-procedures-and-guidelines/emerging-public-health-issues/2019-novel-coronavirus/cases-and-risk-of-covid-19-in-saskatchewan" TargetMode="External"/><Relationship Id="rId4" Type="http://schemas.openxmlformats.org/officeDocument/2006/relationships/hyperlink" Target="https://www2.gnb.ca/content/gnb/en/corporate/promo/covid-19/COVIDWATCH.html" TargetMode="External"/><Relationship Id="rId9"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hyperlink" Target="https://nunatsiaq.com/stories/article/iqaluits-brewery-sees-opportunity-challenges-in-easing-of-covid-19-restrictions/" TargetMode="External"/><Relationship Id="rId7" Type="http://schemas.openxmlformats.org/officeDocument/2006/relationships/hyperlink" Target="https://www.cp24.com/news/ontario-reports-21-covid-19-deaths-in-the-last-week-1.5960441" TargetMode="External"/><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cabinradio.ca/90738/news/yellowknife/cause-of-yk-covid-19-wastewater-spike-unclear-says-gnwt/" TargetMode="External"/><Relationship Id="rId6" Type="http://schemas.openxmlformats.org/officeDocument/2006/relationships/hyperlink" Target="https://www.gov.mb.ca/health/publichealth/surveillance/covid-19/index.html" TargetMode="External"/><Relationship Id="rId5" Type="http://schemas.openxmlformats.org/officeDocument/2006/relationships/hyperlink" Target="https://www.saskatchewan.ca/government/health-care-administration-and-provider-resources/treatment-procedures-and-guidelines/emerging-public-health-issues/2019-novel-coronavirus/cases-and-risk-of-covid-19-in-saskatchewan" TargetMode="External"/><Relationship Id="rId4" Type="http://schemas.openxmlformats.org/officeDocument/2006/relationships/hyperlink" Target="https://www2.gnb.ca/content/gnb/en/corporate/promo/covid-19/COVIDWATCH.html" TargetMode="External"/><Relationship Id="rId9" Type="http://schemas.openxmlformats.org/officeDocument/2006/relationships/drawing" Target="../drawings/drawing8.xm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9.bin"/><Relationship Id="rId3" Type="http://schemas.openxmlformats.org/officeDocument/2006/relationships/hyperlink" Target="https://nunatsiaq.com/stories/article/iqaluits-brewery-sees-opportunity-challenges-in-easing-of-covid-19-restrictions/" TargetMode="External"/><Relationship Id="rId7" Type="http://schemas.openxmlformats.org/officeDocument/2006/relationships/hyperlink" Target="https://www.cp24.com/news/ontario-reports-21-covid-19-deaths-in-the-last-week-1.5960441" TargetMode="External"/><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cabinradio.ca/90738/news/yellowknife/cause-of-yk-covid-19-wastewater-spike-unclear-says-gnwt/" TargetMode="External"/><Relationship Id="rId6" Type="http://schemas.openxmlformats.org/officeDocument/2006/relationships/hyperlink" Target="https://www.gov.mb.ca/health/publichealth/surveillance/covid-19/index.html" TargetMode="External"/><Relationship Id="rId5" Type="http://schemas.openxmlformats.org/officeDocument/2006/relationships/hyperlink" Target="https://www.saskatchewan.ca/government/health-care-administration-and-provider-resources/treatment-procedures-and-guidelines/emerging-public-health-issues/2019-novel-coronavirus/cases-and-risk-of-covid-19-in-saskatchewan" TargetMode="External"/><Relationship Id="rId4" Type="http://schemas.openxmlformats.org/officeDocument/2006/relationships/hyperlink" Target="https://www2.gnb.ca/content/gnb/en/corporate/promo/covid-19/COVIDWATCH.html" TargetMode="External"/><Relationship Id="rId9" Type="http://schemas.openxmlformats.org/officeDocument/2006/relationships/drawing" Target="../drawings/drawing9.xml"/></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37D3C-C47D-4817-A1D8-90D24CAF62F5}">
  <dimension ref="A1:P27"/>
  <sheetViews>
    <sheetView tabSelected="1" zoomScaleNormal="100" workbookViewId="0">
      <selection activeCell="A19" sqref="A19"/>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537</v>
      </c>
      <c r="B1" s="44"/>
      <c r="C1" s="44"/>
      <c r="D1" s="44"/>
      <c r="E1" s="2"/>
    </row>
    <row r="2" spans="1:5" x14ac:dyDescent="0.3">
      <c r="B2" s="9" t="s">
        <v>1</v>
      </c>
      <c r="C2" s="10" t="s">
        <v>0</v>
      </c>
    </row>
    <row r="3" spans="1:5" ht="15" thickBot="1" x14ac:dyDescent="0.35">
      <c r="B3" s="20">
        <f>SUM(B4,B5,B6,B7,B8,B9,B10,B11,B12,B13,B16,B15,B14)</f>
        <v>5170</v>
      </c>
      <c r="C3" s="12">
        <f>SUM(C4,C5,C6,C7,C8,C9,,C10,C11,C12,C13,C16,C15,C14)</f>
        <v>261</v>
      </c>
    </row>
    <row r="4" spans="1:5" s="5" customFormat="1" x14ac:dyDescent="0.3">
      <c r="A4" s="4" t="s">
        <v>2</v>
      </c>
      <c r="B4" s="18">
        <v>366</v>
      </c>
      <c r="C4" s="5">
        <v>22</v>
      </c>
    </row>
    <row r="5" spans="1:5" x14ac:dyDescent="0.3">
      <c r="A5" s="4" t="s">
        <v>3</v>
      </c>
      <c r="B5" s="30">
        <v>818</v>
      </c>
      <c r="C5" s="30">
        <v>28</v>
      </c>
      <c r="D5" s="5"/>
    </row>
    <row r="6" spans="1:5" x14ac:dyDescent="0.3">
      <c r="A6" s="4" t="s">
        <v>4</v>
      </c>
      <c r="B6" s="19">
        <v>1328</v>
      </c>
      <c r="C6" s="6">
        <v>109</v>
      </c>
      <c r="D6" s="5"/>
    </row>
    <row r="7" spans="1:5" x14ac:dyDescent="0.3">
      <c r="A7" s="4" t="s">
        <v>5</v>
      </c>
      <c r="B7" s="32">
        <v>1997</v>
      </c>
      <c r="C7" s="5">
        <v>47</v>
      </c>
      <c r="D7" s="5"/>
    </row>
    <row r="8" spans="1:5" s="15" customFormat="1" x14ac:dyDescent="0.3">
      <c r="A8" s="14" t="s">
        <v>6</v>
      </c>
      <c r="B8" s="6">
        <v>46</v>
      </c>
      <c r="C8" s="6">
        <v>4</v>
      </c>
      <c r="D8" s="5"/>
    </row>
    <row r="9" spans="1:5" x14ac:dyDescent="0.3">
      <c r="A9" s="4" t="s">
        <v>7</v>
      </c>
      <c r="B9" s="5">
        <v>27</v>
      </c>
      <c r="C9" s="5">
        <v>4</v>
      </c>
      <c r="D9" s="5"/>
    </row>
    <row r="10" spans="1:5" x14ac:dyDescent="0.3">
      <c r="A10" s="4" t="s">
        <v>8</v>
      </c>
      <c r="B10" s="5">
        <v>72</v>
      </c>
      <c r="C10" s="5">
        <v>19</v>
      </c>
      <c r="D10" s="5"/>
    </row>
    <row r="11" spans="1:5" x14ac:dyDescent="0.3">
      <c r="A11" s="4" t="s">
        <v>9</v>
      </c>
      <c r="B11" s="5">
        <v>10</v>
      </c>
      <c r="C11" s="5">
        <v>0</v>
      </c>
      <c r="D11" s="5"/>
    </row>
    <row r="12" spans="1:5" x14ac:dyDescent="0.3">
      <c r="A12" s="4" t="s">
        <v>10</v>
      </c>
      <c r="B12" s="5">
        <v>488</v>
      </c>
      <c r="C12" s="5">
        <v>27</v>
      </c>
      <c r="D12" s="5"/>
    </row>
    <row r="13" spans="1:5" x14ac:dyDescent="0.3">
      <c r="A13" s="4" t="s">
        <v>11</v>
      </c>
      <c r="B13" s="5">
        <v>18</v>
      </c>
      <c r="C13" s="5">
        <v>1</v>
      </c>
      <c r="D13" s="5"/>
    </row>
    <row r="14" spans="1:5" x14ac:dyDescent="0.3">
      <c r="A14" s="4" t="s">
        <v>12</v>
      </c>
      <c r="B14" s="8">
        <v>0</v>
      </c>
      <c r="C14" s="7">
        <v>0</v>
      </c>
      <c r="D14" s="5"/>
    </row>
    <row r="15" spans="1:5" x14ac:dyDescent="0.3">
      <c r="A15" s="4" t="s">
        <v>13</v>
      </c>
      <c r="B15" s="5">
        <v>0</v>
      </c>
      <c r="C15" s="5">
        <v>0</v>
      </c>
      <c r="D15" s="5" t="s">
        <v>231</v>
      </c>
    </row>
    <row r="16" spans="1:5" x14ac:dyDescent="0.3">
      <c r="A16" s="4" t="s">
        <v>14</v>
      </c>
      <c r="B16" s="5">
        <v>0</v>
      </c>
      <c r="C16" s="5">
        <v>0</v>
      </c>
      <c r="D16" s="5"/>
    </row>
    <row r="17" spans="1:9" x14ac:dyDescent="0.3">
      <c r="B17" s="3"/>
    </row>
    <row r="20" spans="1:9" x14ac:dyDescent="0.3">
      <c r="A20" s="1" t="s">
        <v>122</v>
      </c>
    </row>
    <row r="21" spans="1:9" s="3" customFormat="1" x14ac:dyDescent="0.3">
      <c r="A21" s="33" t="s">
        <v>532</v>
      </c>
      <c r="B21" s="8"/>
    </row>
    <row r="22" spans="1:9" s="3" customFormat="1" x14ac:dyDescent="0.3">
      <c r="A22" s="34" t="s">
        <v>531</v>
      </c>
      <c r="B22" s="8"/>
    </row>
    <row r="23" spans="1:9" s="3" customFormat="1" x14ac:dyDescent="0.3">
      <c r="A23" s="35" t="s">
        <v>471</v>
      </c>
      <c r="B23" s="8"/>
    </row>
    <row r="24" spans="1:9" s="3" customFormat="1" x14ac:dyDescent="0.3">
      <c r="A24" s="33" t="s">
        <v>538</v>
      </c>
      <c r="B24" s="8"/>
    </row>
    <row r="25" spans="1:9" s="3" customFormat="1" x14ac:dyDescent="0.3">
      <c r="A25" s="36" t="s">
        <v>539</v>
      </c>
      <c r="B25" s="8"/>
    </row>
    <row r="26" spans="1:9" s="3" customFormat="1" x14ac:dyDescent="0.3">
      <c r="A26" s="33" t="s">
        <v>540</v>
      </c>
      <c r="B26" s="8"/>
      <c r="I26" s="3" t="s">
        <v>414</v>
      </c>
    </row>
    <row r="27" spans="1:9" x14ac:dyDescent="0.3">
      <c r="A27" s="33" t="s">
        <v>541</v>
      </c>
    </row>
  </sheetData>
  <mergeCells count="1">
    <mergeCell ref="A1:D1"/>
  </mergeCells>
  <hyperlinks>
    <hyperlink ref="A21" r:id="rId1" display="** NT's official website does not disclose the number of current hospitalizations, but according to a news article dated July 31st,  the NWT Department of Health and Social Services spokesperson Jeremy Bird informed that 'There has been a slight uptick in hospitalizations recently, with four in the last 30 days, but this has been manageable so far.'" xr:uid="{3713D94A-1114-44C2-9B54-780F067F9830}"/>
    <hyperlink ref="A22" r:id="rId2" display="**** YT's official website is now informing the number of hospitalizations, which is 2 as of March 7th." xr:uid="{FC6941F6-3BE0-415E-B576-FAA7C16D7D34}"/>
    <hyperlink ref="A23" r:id="rId3" xr:uid="{4BFC62D4-3641-4B8F-90B9-C4B0B0013A8E}"/>
    <hyperlink ref="A24" r:id="rId4" display="*****NB's latest official report only informs the number of patients admitted for Covid-19, not including the number of patients that were admitted for other reasons and tested positive for Covid-19 later on." xr:uid="{C3D02ABC-5424-4728-9EEB-FF51B892A50B}"/>
    <hyperlink ref="A26" r:id="rId5" display="*******SK's information was extracted from the latest official report from May 25th, covering the week of May 15th-21st." xr:uid="{25B6EFE8-078A-4F68-9329-F32387DA53AE}"/>
    <hyperlink ref="A25" r:id="rId6" display="******MB's official website is no longer doing daily reporting. The information was extracted from the latest offical report from May 10th. Note that these are the numbers of new hospitalizations and ICU admissions for the May 1st-7th week. The numbers of" xr:uid="{56C67F5F-356B-4BC4-A6A0-79783F0DA8FC}"/>
    <hyperlink ref="A27" r:id="rId7" xr:uid="{458BAF9D-403B-48D8-8EA4-0BBCD220F326}"/>
  </hyperlinks>
  <pageMargins left="0.7" right="0.7" top="0.75" bottom="0.75" header="0.3" footer="0.3"/>
  <pageSetup orientation="portrait" r:id="rId8"/>
  <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82BB1-BF27-44AC-A0E4-42810465FAE7}">
  <dimension ref="A1:P26"/>
  <sheetViews>
    <sheetView zoomScaleNormal="100" workbookViewId="0">
      <selection sqref="A1:D1"/>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491</v>
      </c>
      <c r="B1" s="44"/>
      <c r="C1" s="44"/>
      <c r="D1" s="44"/>
      <c r="E1" s="2"/>
    </row>
    <row r="2" spans="1:5" x14ac:dyDescent="0.3">
      <c r="B2" s="9" t="s">
        <v>1</v>
      </c>
      <c r="C2" s="10" t="s">
        <v>0</v>
      </c>
    </row>
    <row r="3" spans="1:5" ht="15" thickBot="1" x14ac:dyDescent="0.35">
      <c r="B3" s="20">
        <f>SUM(B4,B5,B6,B7,B8,B9,B10,B11,B12,B13,B16,B15,B14)</f>
        <v>2814</v>
      </c>
      <c r="C3" s="12">
        <f>SUM(C4,C5,C6,C7,C8,C9,,C10,C11,C12,C13,C16,C15,C14)</f>
        <v>205</v>
      </c>
    </row>
    <row r="4" spans="1:5" s="5" customFormat="1" x14ac:dyDescent="0.3">
      <c r="A4" s="4" t="s">
        <v>2</v>
      </c>
      <c r="B4" s="18">
        <v>276</v>
      </c>
      <c r="C4" s="5">
        <v>19</v>
      </c>
    </row>
    <row r="5" spans="1:5" x14ac:dyDescent="0.3">
      <c r="A5" s="4" t="s">
        <v>3</v>
      </c>
      <c r="B5" s="30">
        <v>719</v>
      </c>
      <c r="C5" s="30">
        <v>19</v>
      </c>
      <c r="D5" s="5"/>
    </row>
    <row r="6" spans="1:5" x14ac:dyDescent="0.3">
      <c r="A6" s="4" t="s">
        <v>4</v>
      </c>
      <c r="B6" s="19">
        <v>491</v>
      </c>
      <c r="C6" s="6">
        <v>109</v>
      </c>
      <c r="D6" s="5"/>
    </row>
    <row r="7" spans="1:5" x14ac:dyDescent="0.3">
      <c r="A7" s="4" t="s">
        <v>5</v>
      </c>
      <c r="B7" s="32">
        <v>1004</v>
      </c>
      <c r="C7" s="5">
        <v>27</v>
      </c>
      <c r="D7" s="5"/>
    </row>
    <row r="8" spans="1:5" s="15" customFormat="1" x14ac:dyDescent="0.3">
      <c r="A8" s="14" t="s">
        <v>6</v>
      </c>
      <c r="B8" s="6">
        <v>25</v>
      </c>
      <c r="C8" s="6">
        <v>5</v>
      </c>
      <c r="D8" s="5"/>
    </row>
    <row r="9" spans="1:5" x14ac:dyDescent="0.3">
      <c r="A9" s="4" t="s">
        <v>7</v>
      </c>
      <c r="B9" s="5">
        <v>27</v>
      </c>
      <c r="C9" s="5">
        <v>2</v>
      </c>
      <c r="D9" s="5"/>
    </row>
    <row r="10" spans="1:5" x14ac:dyDescent="0.3">
      <c r="A10" s="4" t="s">
        <v>8</v>
      </c>
      <c r="B10" s="5">
        <v>80</v>
      </c>
      <c r="C10" s="5">
        <v>14</v>
      </c>
      <c r="D10" s="5"/>
    </row>
    <row r="11" spans="1:5" x14ac:dyDescent="0.3">
      <c r="A11" s="4" t="s">
        <v>9</v>
      </c>
      <c r="B11" s="5">
        <v>11</v>
      </c>
      <c r="C11" s="5">
        <v>0</v>
      </c>
      <c r="D11" s="5"/>
    </row>
    <row r="12" spans="1:5" x14ac:dyDescent="0.3">
      <c r="A12" s="4" t="s">
        <v>10</v>
      </c>
      <c r="B12" s="5">
        <v>165</v>
      </c>
      <c r="C12" s="5">
        <v>6</v>
      </c>
      <c r="D12" s="5"/>
    </row>
    <row r="13" spans="1:5" x14ac:dyDescent="0.3">
      <c r="A13" s="4" t="s">
        <v>11</v>
      </c>
      <c r="B13" s="5">
        <v>14</v>
      </c>
      <c r="C13" s="5">
        <v>4</v>
      </c>
      <c r="D13" s="5"/>
    </row>
    <row r="14" spans="1:5" x14ac:dyDescent="0.3">
      <c r="A14" s="4" t="s">
        <v>12</v>
      </c>
      <c r="B14" s="8">
        <v>0</v>
      </c>
      <c r="C14" s="7">
        <v>0</v>
      </c>
      <c r="D14" s="5"/>
    </row>
    <row r="15" spans="1:5" x14ac:dyDescent="0.3">
      <c r="A15" s="4" t="s">
        <v>13</v>
      </c>
      <c r="B15" s="5">
        <v>2</v>
      </c>
      <c r="C15" s="5">
        <v>0</v>
      </c>
      <c r="D15" s="5" t="s">
        <v>231</v>
      </c>
    </row>
    <row r="16" spans="1:5" x14ac:dyDescent="0.3">
      <c r="A16" s="4" t="s">
        <v>14</v>
      </c>
      <c r="B16" s="5">
        <v>0</v>
      </c>
      <c r="C16" s="5">
        <v>0</v>
      </c>
      <c r="D16" s="5"/>
    </row>
    <row r="17" spans="1:9" x14ac:dyDescent="0.3">
      <c r="B17" s="3"/>
    </row>
    <row r="20" spans="1:9" x14ac:dyDescent="0.3">
      <c r="A20" s="1" t="s">
        <v>122</v>
      </c>
    </row>
    <row r="21" spans="1:9" s="3" customFormat="1" x14ac:dyDescent="0.3">
      <c r="A21" s="33" t="s">
        <v>480</v>
      </c>
      <c r="B21" s="8"/>
    </row>
    <row r="22" spans="1:9" s="3" customFormat="1" x14ac:dyDescent="0.3">
      <c r="A22" s="34" t="s">
        <v>495</v>
      </c>
      <c r="B22" s="8"/>
    </row>
    <row r="23" spans="1:9" s="3" customFormat="1" x14ac:dyDescent="0.3">
      <c r="A23" s="35" t="s">
        <v>471</v>
      </c>
      <c r="B23" s="8"/>
    </row>
    <row r="24" spans="1:9" s="3" customFormat="1" x14ac:dyDescent="0.3">
      <c r="A24" s="33" t="s">
        <v>493</v>
      </c>
      <c r="B24" s="8"/>
    </row>
    <row r="25" spans="1:9" s="3" customFormat="1" x14ac:dyDescent="0.3">
      <c r="A25" s="36" t="s">
        <v>492</v>
      </c>
      <c r="B25" s="8"/>
    </row>
    <row r="26" spans="1:9" s="3" customFormat="1" x14ac:dyDescent="0.3">
      <c r="A26" s="33" t="s">
        <v>494</v>
      </c>
      <c r="B26" s="8"/>
      <c r="I26" s="3" t="s">
        <v>414</v>
      </c>
    </row>
  </sheetData>
  <mergeCells count="1">
    <mergeCell ref="A1:D1"/>
  </mergeCells>
  <hyperlinks>
    <hyperlink ref="A21" r:id="rId1" display="** NT's official website does not disclose the number of current hospitalizations, but according to the press, between April 1st and April 19th, the NWT reported eight new hospitalizations and one intensive care admission. " xr:uid="{4507DDD1-EB2E-4EFE-9E42-427CF8EC7EB0}"/>
    <hyperlink ref="A22" r:id="rId2" display="**** YT's official website is now informing the number of hospitalizations, which is 2 as of March 7th." xr:uid="{7E596E01-B101-468D-81F9-D09EEC212067}"/>
    <hyperlink ref="A23" r:id="rId3" xr:uid="{8DDB05CF-79B3-4A1D-B37F-AD1E22C40966}"/>
    <hyperlink ref="A24" r:id="rId4" display="*****NB's latest official report only informs the number of patients admitted for Covid-19, not including the number of patients that were admitted for other reasons and tested positive for Covid-19 later on." xr:uid="{C2F2989B-8BC5-47C9-8B9B-2DF354BA3389}"/>
    <hyperlink ref="A26" r:id="rId5" display="*******SK's information was extracted from the latest official report from May 25th, covering the week of May 15th-21st." xr:uid="{21693FF9-E5CE-44D6-93F4-B869BF758BE1}"/>
    <hyperlink ref="A25" r:id="rId6" display="******MB's official website is no longer doing daily reporting. The information was extracted from the latest offical report from May 10th. Note that these are the numbers of new hospitalizations and ICU admissions for the May 1st-7th week. The numbers of" xr:uid="{5320A307-B7AD-42BE-8685-F34B7500672F}"/>
  </hyperlinks>
  <pageMargins left="0.7" right="0.7" top="0.75" bottom="0.75" header="0.3" footer="0.3"/>
  <pageSetup orientation="portrait" r:id="rId7"/>
  <drawing r:id="rId8"/>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P24"/>
  <sheetViews>
    <sheetView zoomScale="110" zoomScaleNormal="130" workbookViewId="0">
      <selection activeCell="C16" sqref="C16"/>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239</v>
      </c>
      <c r="B1" s="44"/>
      <c r="C1" s="44"/>
      <c r="D1" s="44"/>
      <c r="E1" s="2"/>
    </row>
    <row r="2" spans="1:5" x14ac:dyDescent="0.3">
      <c r="B2" s="9" t="s">
        <v>1</v>
      </c>
      <c r="C2" s="10" t="s">
        <v>0</v>
      </c>
    </row>
    <row r="3" spans="1:5" ht="15" thickBot="1" x14ac:dyDescent="0.35">
      <c r="B3" s="20">
        <f>SUM(B4,B5,B6,B7,B8,B9,B10,B11,B12,B13,B16,B15,B14)</f>
        <v>991</v>
      </c>
      <c r="C3" s="12">
        <f>SUM(C4,C5,C6,C7,C8,C9,,C10,C11,C12,C13,C16,C15,C14)</f>
        <v>274</v>
      </c>
    </row>
    <row r="4" spans="1:5" s="5" customFormat="1" x14ac:dyDescent="0.3">
      <c r="A4" s="4" t="s">
        <v>2</v>
      </c>
      <c r="B4" s="5">
        <f>111+51</f>
        <v>162</v>
      </c>
      <c r="C4" s="5">
        <v>51</v>
      </c>
    </row>
    <row r="5" spans="1:5" x14ac:dyDescent="0.3">
      <c r="A5" s="4" t="s">
        <v>3</v>
      </c>
      <c r="B5" s="30">
        <f>176+44</f>
        <v>220</v>
      </c>
      <c r="C5" s="30">
        <v>44</v>
      </c>
      <c r="D5" s="5"/>
    </row>
    <row r="6" spans="1:5" x14ac:dyDescent="0.3">
      <c r="A6" s="4" t="s">
        <v>4</v>
      </c>
      <c r="B6" s="19">
        <f>163+127</f>
        <v>290</v>
      </c>
      <c r="C6" s="6">
        <v>127</v>
      </c>
      <c r="D6" s="5"/>
    </row>
    <row r="7" spans="1:5" x14ac:dyDescent="0.3">
      <c r="A7" s="4" t="s">
        <v>5</v>
      </c>
      <c r="B7" s="32">
        <f>88+28</f>
        <v>116</v>
      </c>
      <c r="C7" s="5">
        <v>28</v>
      </c>
      <c r="D7" s="5"/>
    </row>
    <row r="8" spans="1:5" s="15" customFormat="1" x14ac:dyDescent="0.3">
      <c r="A8" s="14" t="s">
        <v>6</v>
      </c>
      <c r="B8" s="6">
        <v>1</v>
      </c>
      <c r="C8" s="6">
        <v>1</v>
      </c>
      <c r="D8" s="5"/>
    </row>
    <row r="9" spans="1:5" x14ac:dyDescent="0.3">
      <c r="A9" s="4" t="s">
        <v>7</v>
      </c>
      <c r="B9" s="5">
        <v>1</v>
      </c>
      <c r="C9" s="5">
        <v>0</v>
      </c>
      <c r="D9" s="5"/>
    </row>
    <row r="10" spans="1:5" x14ac:dyDescent="0.3">
      <c r="A10" s="4" t="s">
        <v>8</v>
      </c>
      <c r="B10" s="5">
        <f>69+12</f>
        <v>81</v>
      </c>
      <c r="C10" s="5">
        <v>12</v>
      </c>
      <c r="D10" s="5"/>
    </row>
    <row r="11" spans="1:5" x14ac:dyDescent="0.3">
      <c r="A11" s="4" t="s">
        <v>9</v>
      </c>
      <c r="B11" s="5">
        <v>0</v>
      </c>
      <c r="C11" s="5">
        <v>0</v>
      </c>
      <c r="D11" s="5"/>
    </row>
    <row r="12" spans="1:5" x14ac:dyDescent="0.3">
      <c r="A12" s="4" t="s">
        <v>10</v>
      </c>
      <c r="B12" s="5">
        <v>79</v>
      </c>
      <c r="C12" s="5">
        <v>11</v>
      </c>
      <c r="D12" s="5"/>
    </row>
    <row r="13" spans="1:5" x14ac:dyDescent="0.3">
      <c r="A13" s="4" t="s">
        <v>11</v>
      </c>
      <c r="B13" s="5">
        <v>0</v>
      </c>
      <c r="C13" s="5">
        <v>0</v>
      </c>
      <c r="D13" s="5"/>
    </row>
    <row r="14" spans="1:5" x14ac:dyDescent="0.3">
      <c r="A14" s="4" t="s">
        <v>12</v>
      </c>
      <c r="B14" s="8">
        <v>1</v>
      </c>
      <c r="C14" s="7">
        <v>0</v>
      </c>
      <c r="D14" s="5"/>
    </row>
    <row r="15" spans="1:5" x14ac:dyDescent="0.3">
      <c r="A15" s="4" t="s">
        <v>13</v>
      </c>
      <c r="B15" s="5">
        <v>40</v>
      </c>
      <c r="C15" s="5">
        <v>0</v>
      </c>
      <c r="D15" s="5" t="s">
        <v>231</v>
      </c>
    </row>
    <row r="16" spans="1:5" x14ac:dyDescent="0.3">
      <c r="A16" s="4" t="s">
        <v>14</v>
      </c>
      <c r="B16" s="5">
        <v>0</v>
      </c>
      <c r="C16" s="5">
        <v>0</v>
      </c>
      <c r="D16" s="5"/>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P24"/>
  <sheetViews>
    <sheetView zoomScale="110" zoomScaleNormal="130" workbookViewId="0">
      <selection activeCell="D15" sqref="D15"/>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238</v>
      </c>
      <c r="B1" s="44"/>
      <c r="C1" s="44"/>
      <c r="D1" s="44"/>
      <c r="E1" s="2"/>
    </row>
    <row r="2" spans="1:5" x14ac:dyDescent="0.3">
      <c r="B2" s="9" t="s">
        <v>1</v>
      </c>
      <c r="C2" s="10" t="s">
        <v>0</v>
      </c>
    </row>
    <row r="3" spans="1:5" ht="15" thickBot="1" x14ac:dyDescent="0.35">
      <c r="B3" s="20">
        <f>SUM(B4,B5,B6,B7,B8,B9,B10,B11,B12,B13,B16,B15,B14)</f>
        <v>846</v>
      </c>
      <c r="C3" s="12">
        <f>SUM(C4,C5,C6,C7,C8,C9,,C10,C11,C12,C13,C16,C15,C14)</f>
        <v>245</v>
      </c>
    </row>
    <row r="4" spans="1:5" s="5" customFormat="1" x14ac:dyDescent="0.3">
      <c r="A4" s="4" t="s">
        <v>2</v>
      </c>
      <c r="B4" s="5">
        <f>82+39</f>
        <v>121</v>
      </c>
      <c r="C4" s="5">
        <v>39</v>
      </c>
    </row>
    <row r="5" spans="1:5" x14ac:dyDescent="0.3">
      <c r="A5" s="4" t="s">
        <v>3</v>
      </c>
      <c r="B5" s="30">
        <f>152+37</f>
        <v>189</v>
      </c>
      <c r="C5" s="30">
        <v>37</v>
      </c>
      <c r="D5" s="5"/>
    </row>
    <row r="6" spans="1:5" x14ac:dyDescent="0.3">
      <c r="A6" s="4" t="s">
        <v>4</v>
      </c>
      <c r="B6" s="19">
        <f>108+119</f>
        <v>227</v>
      </c>
      <c r="C6" s="6">
        <v>119</v>
      </c>
      <c r="D6" s="5"/>
    </row>
    <row r="7" spans="1:5" x14ac:dyDescent="0.3">
      <c r="A7" s="4" t="s">
        <v>5</v>
      </c>
      <c r="B7" s="32">
        <f>82+27</f>
        <v>109</v>
      </c>
      <c r="C7" s="5">
        <v>27</v>
      </c>
      <c r="D7" s="5"/>
    </row>
    <row r="8" spans="1:5" s="15" customFormat="1" x14ac:dyDescent="0.3">
      <c r="A8" s="14" t="s">
        <v>6</v>
      </c>
      <c r="B8" s="6">
        <v>1</v>
      </c>
      <c r="C8" s="6">
        <v>1</v>
      </c>
      <c r="D8" s="5"/>
    </row>
    <row r="9" spans="1:5" x14ac:dyDescent="0.3">
      <c r="A9" s="4" t="s">
        <v>7</v>
      </c>
      <c r="B9" s="5">
        <v>0</v>
      </c>
      <c r="C9" s="5">
        <v>0</v>
      </c>
      <c r="D9" s="5"/>
    </row>
    <row r="10" spans="1:5" x14ac:dyDescent="0.3">
      <c r="A10" s="4" t="s">
        <v>8</v>
      </c>
      <c r="B10" s="5">
        <f>69+12</f>
        <v>81</v>
      </c>
      <c r="C10" s="5">
        <v>12</v>
      </c>
      <c r="D10" s="5"/>
    </row>
    <row r="11" spans="1:5" x14ac:dyDescent="0.3">
      <c r="A11" s="4" t="s">
        <v>9</v>
      </c>
      <c r="B11" s="5">
        <v>0</v>
      </c>
      <c r="C11" s="5">
        <v>0</v>
      </c>
      <c r="D11" s="5"/>
    </row>
    <row r="12" spans="1:5" x14ac:dyDescent="0.3">
      <c r="A12" s="4" t="s">
        <v>10</v>
      </c>
      <c r="B12" s="5">
        <v>74</v>
      </c>
      <c r="C12" s="5">
        <v>10</v>
      </c>
      <c r="D12" s="5"/>
    </row>
    <row r="13" spans="1:5" x14ac:dyDescent="0.3">
      <c r="A13" s="4" t="s">
        <v>11</v>
      </c>
      <c r="B13" s="5">
        <v>1</v>
      </c>
      <c r="C13" s="5">
        <v>0</v>
      </c>
      <c r="D13" s="5"/>
    </row>
    <row r="14" spans="1:5" x14ac:dyDescent="0.3">
      <c r="A14" s="4" t="s">
        <v>12</v>
      </c>
      <c r="B14" s="8">
        <v>0</v>
      </c>
      <c r="C14" s="7">
        <v>0</v>
      </c>
      <c r="D14" s="5"/>
    </row>
    <row r="15" spans="1:5" x14ac:dyDescent="0.3">
      <c r="A15" s="4" t="s">
        <v>13</v>
      </c>
      <c r="B15" s="5">
        <v>43</v>
      </c>
      <c r="C15" s="5">
        <v>0</v>
      </c>
      <c r="D15" s="5" t="s">
        <v>231</v>
      </c>
    </row>
    <row r="16" spans="1:5" x14ac:dyDescent="0.3">
      <c r="A16" s="4" t="s">
        <v>14</v>
      </c>
      <c r="B16" s="5">
        <v>0</v>
      </c>
      <c r="C16" s="5">
        <v>0</v>
      </c>
      <c r="D16" s="5"/>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P24"/>
  <sheetViews>
    <sheetView zoomScale="110" zoomScaleNormal="130" workbookViewId="0">
      <selection activeCell="C16" sqref="C16"/>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237</v>
      </c>
      <c r="B1" s="44"/>
      <c r="C1" s="44"/>
      <c r="D1" s="44"/>
      <c r="E1" s="2"/>
    </row>
    <row r="2" spans="1:5" x14ac:dyDescent="0.3">
      <c r="B2" s="9" t="s">
        <v>1</v>
      </c>
      <c r="C2" s="10" t="s">
        <v>0</v>
      </c>
    </row>
    <row r="3" spans="1:5" ht="15" thickBot="1" x14ac:dyDescent="0.35">
      <c r="B3" s="20">
        <f>SUM(B4,B5,B6,B7,B8,B9,B10,B11,B12,B13,B16,B15,B14)</f>
        <v>837</v>
      </c>
      <c r="C3" s="12">
        <f>SUM(C4,C5,C6,C7,C8,C9,,C10,C11,C12,C13,C16,C15,C14)</f>
        <v>233</v>
      </c>
    </row>
    <row r="4" spans="1:5" s="5" customFormat="1" x14ac:dyDescent="0.3">
      <c r="A4" s="4" t="s">
        <v>2</v>
      </c>
      <c r="B4" s="5">
        <f>81+33</f>
        <v>114</v>
      </c>
      <c r="C4" s="5">
        <v>33</v>
      </c>
    </row>
    <row r="5" spans="1:5" x14ac:dyDescent="0.3">
      <c r="A5" s="4" t="s">
        <v>3</v>
      </c>
      <c r="B5" s="30">
        <f>146+36</f>
        <v>182</v>
      </c>
      <c r="C5" s="30">
        <v>36</v>
      </c>
      <c r="D5" s="5"/>
    </row>
    <row r="6" spans="1:5" x14ac:dyDescent="0.3">
      <c r="A6" s="4" t="s">
        <v>4</v>
      </c>
      <c r="B6" s="19">
        <f>116+113</f>
        <v>229</v>
      </c>
      <c r="C6" s="6">
        <v>113</v>
      </c>
      <c r="D6" s="5"/>
    </row>
    <row r="7" spans="1:5" x14ac:dyDescent="0.3">
      <c r="A7" s="4" t="s">
        <v>5</v>
      </c>
      <c r="B7" s="32">
        <f>81+28</f>
        <v>109</v>
      </c>
      <c r="C7" s="5">
        <v>28</v>
      </c>
      <c r="D7" s="5"/>
    </row>
    <row r="8" spans="1:5" s="15" customFormat="1" x14ac:dyDescent="0.3">
      <c r="A8" s="14" t="s">
        <v>6</v>
      </c>
      <c r="B8" s="6">
        <v>1</v>
      </c>
      <c r="C8" s="6">
        <v>1</v>
      </c>
      <c r="D8" s="5"/>
    </row>
    <row r="9" spans="1:5" x14ac:dyDescent="0.3">
      <c r="A9" s="4" t="s">
        <v>7</v>
      </c>
      <c r="B9" s="5">
        <v>0</v>
      </c>
      <c r="C9" s="5">
        <v>0</v>
      </c>
      <c r="D9" s="5"/>
    </row>
    <row r="10" spans="1:5" x14ac:dyDescent="0.3">
      <c r="A10" s="4" t="s">
        <v>8</v>
      </c>
      <c r="B10" s="5">
        <f>75+11</f>
        <v>86</v>
      </c>
      <c r="C10" s="5">
        <v>11</v>
      </c>
      <c r="D10" s="5"/>
    </row>
    <row r="11" spans="1:5" x14ac:dyDescent="0.3">
      <c r="A11" s="4" t="s">
        <v>9</v>
      </c>
      <c r="B11" s="5">
        <v>0</v>
      </c>
      <c r="C11" s="5">
        <v>0</v>
      </c>
      <c r="D11" s="5"/>
    </row>
    <row r="12" spans="1:5" x14ac:dyDescent="0.3">
      <c r="A12" s="4" t="s">
        <v>10</v>
      </c>
      <c r="B12" s="5">
        <v>69</v>
      </c>
      <c r="C12" s="5">
        <v>11</v>
      </c>
      <c r="D12" s="5"/>
    </row>
    <row r="13" spans="1:5" x14ac:dyDescent="0.3">
      <c r="A13" s="4" t="s">
        <v>11</v>
      </c>
      <c r="B13" s="5">
        <v>2</v>
      </c>
      <c r="C13" s="5">
        <v>0</v>
      </c>
      <c r="D13" s="5"/>
    </row>
    <row r="14" spans="1:5" x14ac:dyDescent="0.3">
      <c r="A14" s="4" t="s">
        <v>12</v>
      </c>
      <c r="B14" s="8">
        <v>0</v>
      </c>
      <c r="C14" s="7">
        <v>0</v>
      </c>
      <c r="D14" s="5"/>
    </row>
    <row r="15" spans="1:5" x14ac:dyDescent="0.3">
      <c r="A15" s="4" t="s">
        <v>13</v>
      </c>
      <c r="B15" s="5">
        <v>45</v>
      </c>
      <c r="C15" s="5">
        <v>0</v>
      </c>
      <c r="D15" s="5" t="s">
        <v>231</v>
      </c>
    </row>
    <row r="16" spans="1:5" x14ac:dyDescent="0.3">
      <c r="A16" s="4" t="s">
        <v>14</v>
      </c>
      <c r="B16" s="5">
        <v>0</v>
      </c>
      <c r="C16" s="5">
        <v>0</v>
      </c>
      <c r="D16" s="5"/>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P24"/>
  <sheetViews>
    <sheetView zoomScale="110" zoomScaleNormal="130" workbookViewId="0">
      <selection activeCell="B15" sqref="B15"/>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236</v>
      </c>
      <c r="B1" s="44"/>
      <c r="C1" s="44"/>
      <c r="D1" s="44"/>
      <c r="E1" s="2"/>
    </row>
    <row r="2" spans="1:5" x14ac:dyDescent="0.3">
      <c r="B2" s="9" t="s">
        <v>1</v>
      </c>
      <c r="C2" s="10" t="s">
        <v>0</v>
      </c>
    </row>
    <row r="3" spans="1:5" ht="15" thickBot="1" x14ac:dyDescent="0.35">
      <c r="B3" s="20">
        <f>SUM(B4,B5,B6,B7,B8,B9,B10,B11,B12,B13,B16,B15,B14)</f>
        <v>775</v>
      </c>
      <c r="C3" s="12">
        <f>SUM(C4,C5,C6,C7,C8,C9,,C10,C11,C12,C13,C16,C15,C14)</f>
        <v>212</v>
      </c>
    </row>
    <row r="4" spans="1:5" s="5" customFormat="1" x14ac:dyDescent="0.3">
      <c r="A4" s="4" t="s">
        <v>2</v>
      </c>
      <c r="B4" s="5">
        <f>71+23</f>
        <v>94</v>
      </c>
      <c r="C4" s="5">
        <v>23</v>
      </c>
    </row>
    <row r="5" spans="1:5" x14ac:dyDescent="0.3">
      <c r="A5" s="4" t="s">
        <v>3</v>
      </c>
      <c r="B5" s="30">
        <f>133+29</f>
        <v>162</v>
      </c>
      <c r="C5" s="30">
        <v>29</v>
      </c>
      <c r="D5" s="5"/>
    </row>
    <row r="6" spans="1:5" x14ac:dyDescent="0.3">
      <c r="A6" s="4" t="s">
        <v>4</v>
      </c>
      <c r="B6" s="19">
        <f>108+108</f>
        <v>216</v>
      </c>
      <c r="C6" s="6">
        <v>108</v>
      </c>
      <c r="D6" s="5"/>
    </row>
    <row r="7" spans="1:5" x14ac:dyDescent="0.3">
      <c r="A7" s="4" t="s">
        <v>5</v>
      </c>
      <c r="B7" s="32">
        <f>67+22</f>
        <v>89</v>
      </c>
      <c r="C7" s="5">
        <v>22</v>
      </c>
      <c r="D7" s="5"/>
    </row>
    <row r="8" spans="1:5" s="15" customFormat="1" x14ac:dyDescent="0.3">
      <c r="A8" s="14" t="s">
        <v>6</v>
      </c>
      <c r="B8" s="6">
        <v>1</v>
      </c>
      <c r="C8" s="6">
        <v>1</v>
      </c>
      <c r="D8" s="5"/>
    </row>
    <row r="9" spans="1:5" x14ac:dyDescent="0.3">
      <c r="A9" s="4" t="s">
        <v>7</v>
      </c>
      <c r="B9" s="5">
        <v>0</v>
      </c>
      <c r="C9" s="5">
        <v>0</v>
      </c>
      <c r="D9" s="5"/>
    </row>
    <row r="10" spans="1:5" x14ac:dyDescent="0.3">
      <c r="A10" s="4" t="s">
        <v>8</v>
      </c>
      <c r="B10" s="5">
        <f>89+14</f>
        <v>103</v>
      </c>
      <c r="C10" s="5">
        <v>14</v>
      </c>
      <c r="D10" s="5"/>
    </row>
    <row r="11" spans="1:5" x14ac:dyDescent="0.3">
      <c r="A11" s="4" t="s">
        <v>9</v>
      </c>
      <c r="B11" s="5">
        <v>0</v>
      </c>
      <c r="C11" s="5">
        <v>0</v>
      </c>
      <c r="D11" s="5"/>
    </row>
    <row r="12" spans="1:5" x14ac:dyDescent="0.3">
      <c r="A12" s="4" t="s">
        <v>10</v>
      </c>
      <c r="B12" s="5">
        <v>65</v>
      </c>
      <c r="C12" s="5">
        <v>15</v>
      </c>
      <c r="D12" s="5"/>
    </row>
    <row r="13" spans="1:5" x14ac:dyDescent="0.3">
      <c r="A13" s="4" t="s">
        <v>11</v>
      </c>
      <c r="B13" s="5">
        <v>2</v>
      </c>
      <c r="C13" s="5">
        <v>0</v>
      </c>
      <c r="D13" s="5"/>
    </row>
    <row r="14" spans="1:5" x14ac:dyDescent="0.3">
      <c r="A14" s="4" t="s">
        <v>12</v>
      </c>
      <c r="B14" s="8">
        <v>0</v>
      </c>
      <c r="C14" s="7">
        <v>0</v>
      </c>
      <c r="D14" s="5"/>
    </row>
    <row r="15" spans="1:5" x14ac:dyDescent="0.3">
      <c r="A15" s="4" t="s">
        <v>13</v>
      </c>
      <c r="B15" s="5">
        <v>43</v>
      </c>
      <c r="C15" s="5">
        <v>0</v>
      </c>
      <c r="D15" s="5" t="s">
        <v>231</v>
      </c>
    </row>
    <row r="16" spans="1:5" x14ac:dyDescent="0.3">
      <c r="A16" s="4" t="s">
        <v>14</v>
      </c>
      <c r="B16" s="5">
        <v>0</v>
      </c>
      <c r="C16" s="5">
        <v>0</v>
      </c>
      <c r="D16" s="5"/>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P24"/>
  <sheetViews>
    <sheetView zoomScale="110" zoomScaleNormal="130" workbookViewId="0">
      <selection activeCell="I20" sqref="I20"/>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235</v>
      </c>
      <c r="B1" s="44"/>
      <c r="C1" s="44"/>
      <c r="D1" s="44"/>
      <c r="E1" s="2"/>
    </row>
    <row r="2" spans="1:5" x14ac:dyDescent="0.3">
      <c r="B2" s="9" t="s">
        <v>1</v>
      </c>
      <c r="C2" s="10" t="s">
        <v>0</v>
      </c>
    </row>
    <row r="3" spans="1:5" ht="15" thickBot="1" x14ac:dyDescent="0.35">
      <c r="B3" s="20">
        <f>SUM(B4,B5,B6,B7,B8,B9,B10,B11,B12,B13,B16,B15,B14)</f>
        <v>699</v>
      </c>
      <c r="C3" s="12">
        <f>SUM(C4,C5,C6,C7,C8,C9,,C10,C11,C12,C13,C16,C15,C14)</f>
        <v>202</v>
      </c>
    </row>
    <row r="4" spans="1:5" s="5" customFormat="1" x14ac:dyDescent="0.3">
      <c r="A4" s="4" t="s">
        <v>2</v>
      </c>
      <c r="B4" s="5">
        <f>52+24</f>
        <v>76</v>
      </c>
      <c r="C4" s="5">
        <v>24</v>
      </c>
    </row>
    <row r="5" spans="1:5" x14ac:dyDescent="0.3">
      <c r="A5" s="4" t="s">
        <v>3</v>
      </c>
      <c r="B5" s="30">
        <f>113+25</f>
        <v>138</v>
      </c>
      <c r="C5" s="30">
        <v>25</v>
      </c>
      <c r="D5" s="5"/>
    </row>
    <row r="6" spans="1:5" x14ac:dyDescent="0.3">
      <c r="A6" s="4" t="s">
        <v>4</v>
      </c>
      <c r="B6" s="19">
        <f>94+113</f>
        <v>207</v>
      </c>
      <c r="C6" s="6">
        <v>113</v>
      </c>
      <c r="D6" s="5"/>
    </row>
    <row r="7" spans="1:5" x14ac:dyDescent="0.3">
      <c r="A7" s="4" t="s">
        <v>5</v>
      </c>
      <c r="B7" s="32">
        <f>55+14</f>
        <v>69</v>
      </c>
      <c r="C7" s="5">
        <v>14</v>
      </c>
      <c r="D7" s="5"/>
    </row>
    <row r="8" spans="1:5" s="15" customFormat="1" x14ac:dyDescent="0.3">
      <c r="A8" s="14" t="s">
        <v>6</v>
      </c>
      <c r="B8" s="6">
        <v>1</v>
      </c>
      <c r="C8" s="6">
        <v>1</v>
      </c>
      <c r="D8" s="5"/>
    </row>
    <row r="9" spans="1:5" x14ac:dyDescent="0.3">
      <c r="A9" s="4" t="s">
        <v>7</v>
      </c>
      <c r="B9" s="5">
        <v>0</v>
      </c>
      <c r="C9" s="5">
        <v>0</v>
      </c>
      <c r="D9" s="5"/>
    </row>
    <row r="10" spans="1:5" x14ac:dyDescent="0.3">
      <c r="A10" s="4" t="s">
        <v>8</v>
      </c>
      <c r="B10" s="5">
        <f>89+14</f>
        <v>103</v>
      </c>
      <c r="C10" s="5">
        <v>14</v>
      </c>
      <c r="D10" s="5"/>
    </row>
    <row r="11" spans="1:5" x14ac:dyDescent="0.3">
      <c r="A11" s="4" t="s">
        <v>9</v>
      </c>
      <c r="B11" s="5">
        <v>0</v>
      </c>
      <c r="C11" s="5">
        <v>0</v>
      </c>
      <c r="D11" s="5"/>
    </row>
    <row r="12" spans="1:5" x14ac:dyDescent="0.3">
      <c r="A12" s="4" t="s">
        <v>10</v>
      </c>
      <c r="B12" s="5">
        <v>56</v>
      </c>
      <c r="C12" s="5">
        <v>11</v>
      </c>
      <c r="D12" s="5"/>
    </row>
    <row r="13" spans="1:5" x14ac:dyDescent="0.3">
      <c r="A13" s="4" t="s">
        <v>11</v>
      </c>
      <c r="B13" s="5">
        <v>2</v>
      </c>
      <c r="C13" s="5">
        <v>0</v>
      </c>
      <c r="D13" s="5"/>
    </row>
    <row r="14" spans="1:5" x14ac:dyDescent="0.3">
      <c r="A14" s="4" t="s">
        <v>12</v>
      </c>
      <c r="B14" s="8">
        <v>0</v>
      </c>
      <c r="C14" s="7">
        <v>0</v>
      </c>
      <c r="D14" s="5"/>
    </row>
    <row r="15" spans="1:5" x14ac:dyDescent="0.3">
      <c r="A15" s="4" t="s">
        <v>13</v>
      </c>
      <c r="B15" s="5">
        <v>47</v>
      </c>
      <c r="C15" s="5">
        <v>0</v>
      </c>
      <c r="D15" s="5" t="s">
        <v>231</v>
      </c>
    </row>
    <row r="16" spans="1:5" x14ac:dyDescent="0.3">
      <c r="A16" s="4" t="s">
        <v>14</v>
      </c>
      <c r="B16" s="5">
        <v>0</v>
      </c>
      <c r="C16" s="5">
        <v>0</v>
      </c>
      <c r="D16" s="5"/>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P24"/>
  <sheetViews>
    <sheetView zoomScale="110" zoomScaleNormal="130" workbookViewId="0">
      <selection activeCell="D18" sqref="D18"/>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234</v>
      </c>
      <c r="B1" s="44"/>
      <c r="C1" s="44"/>
      <c r="D1" s="44"/>
      <c r="E1" s="2"/>
    </row>
    <row r="2" spans="1:5" x14ac:dyDescent="0.3">
      <c r="B2" s="9" t="s">
        <v>1</v>
      </c>
      <c r="C2" s="10" t="s">
        <v>0</v>
      </c>
    </row>
    <row r="3" spans="1:5" ht="15" thickBot="1" x14ac:dyDescent="0.35">
      <c r="B3" s="20">
        <f>SUM(B4,B5,B6,B7,B8,B9,B10,B11,B12,B13,B16,B15,B14)</f>
        <v>723</v>
      </c>
      <c r="C3" s="12">
        <f>SUM(C4,C5,C6,C7,C8,C9,,C10,C11,C12,C13,C16,C15,C14)</f>
        <v>202</v>
      </c>
    </row>
    <row r="4" spans="1:5" s="5" customFormat="1" x14ac:dyDescent="0.3">
      <c r="A4" s="4" t="s">
        <v>2</v>
      </c>
      <c r="B4" s="5">
        <f>55+23</f>
        <v>78</v>
      </c>
      <c r="C4" s="5">
        <v>23</v>
      </c>
    </row>
    <row r="5" spans="1:5" x14ac:dyDescent="0.3">
      <c r="A5" s="4" t="s">
        <v>3</v>
      </c>
      <c r="B5" s="30">
        <f>97+23</f>
        <v>120</v>
      </c>
      <c r="C5" s="30">
        <v>23</v>
      </c>
      <c r="D5" s="5"/>
    </row>
    <row r="6" spans="1:5" x14ac:dyDescent="0.3">
      <c r="A6" s="4" t="s">
        <v>4</v>
      </c>
      <c r="B6" s="19">
        <f>113+110</f>
        <v>223</v>
      </c>
      <c r="C6" s="6">
        <v>110</v>
      </c>
      <c r="D6" s="5"/>
    </row>
    <row r="7" spans="1:5" x14ac:dyDescent="0.3">
      <c r="A7" s="4" t="s">
        <v>5</v>
      </c>
      <c r="B7" s="32">
        <f>60+16</f>
        <v>76</v>
      </c>
      <c r="C7" s="5">
        <v>16</v>
      </c>
      <c r="D7" s="5"/>
    </row>
    <row r="8" spans="1:5" s="15" customFormat="1" x14ac:dyDescent="0.3">
      <c r="A8" s="14" t="s">
        <v>6</v>
      </c>
      <c r="B8" s="6">
        <v>1</v>
      </c>
      <c r="C8" s="6">
        <v>1</v>
      </c>
      <c r="D8" s="5"/>
    </row>
    <row r="9" spans="1:5" x14ac:dyDescent="0.3">
      <c r="A9" s="4" t="s">
        <v>7</v>
      </c>
      <c r="B9" s="5">
        <v>0</v>
      </c>
      <c r="C9" s="5">
        <v>0</v>
      </c>
      <c r="D9" s="5"/>
    </row>
    <row r="10" spans="1:5" x14ac:dyDescent="0.3">
      <c r="A10" s="4" t="s">
        <v>8</v>
      </c>
      <c r="B10" s="5">
        <f>91+17</f>
        <v>108</v>
      </c>
      <c r="C10" s="5">
        <v>17</v>
      </c>
      <c r="D10" s="5"/>
    </row>
    <row r="11" spans="1:5" x14ac:dyDescent="0.3">
      <c r="A11" s="4" t="s">
        <v>9</v>
      </c>
      <c r="B11" s="5">
        <v>0</v>
      </c>
      <c r="C11" s="5">
        <v>0</v>
      </c>
      <c r="D11" s="5"/>
    </row>
    <row r="12" spans="1:5" x14ac:dyDescent="0.3">
      <c r="A12" s="4" t="s">
        <v>10</v>
      </c>
      <c r="B12" s="5">
        <v>56</v>
      </c>
      <c r="C12" s="5">
        <v>12</v>
      </c>
      <c r="D12" s="5"/>
    </row>
    <row r="13" spans="1:5" x14ac:dyDescent="0.3">
      <c r="A13" s="4" t="s">
        <v>11</v>
      </c>
      <c r="B13" s="5">
        <v>2</v>
      </c>
      <c r="C13" s="5">
        <v>0</v>
      </c>
      <c r="D13" s="5"/>
    </row>
    <row r="14" spans="1:5" x14ac:dyDescent="0.3">
      <c r="A14" s="4" t="s">
        <v>12</v>
      </c>
      <c r="B14" s="8">
        <v>0</v>
      </c>
      <c r="C14" s="7">
        <v>0</v>
      </c>
      <c r="D14" s="5"/>
    </row>
    <row r="15" spans="1:5" x14ac:dyDescent="0.3">
      <c r="A15" s="4" t="s">
        <v>13</v>
      </c>
      <c r="B15" s="5">
        <v>59</v>
      </c>
      <c r="C15" s="5">
        <v>0</v>
      </c>
      <c r="D15" s="5" t="s">
        <v>231</v>
      </c>
    </row>
    <row r="16" spans="1:5" x14ac:dyDescent="0.3">
      <c r="A16" s="4" t="s">
        <v>14</v>
      </c>
      <c r="B16" s="5">
        <v>0</v>
      </c>
      <c r="C16" s="5">
        <v>0</v>
      </c>
      <c r="D16" s="5"/>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P24"/>
  <sheetViews>
    <sheetView zoomScale="110" zoomScaleNormal="130" workbookViewId="0">
      <selection sqref="A1:D1"/>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233</v>
      </c>
      <c r="B1" s="44"/>
      <c r="C1" s="44"/>
      <c r="D1" s="44"/>
      <c r="E1" s="2"/>
    </row>
    <row r="2" spans="1:5" x14ac:dyDescent="0.3">
      <c r="B2" s="9" t="s">
        <v>1</v>
      </c>
      <c r="C2" s="10" t="s">
        <v>0</v>
      </c>
    </row>
    <row r="3" spans="1:5" ht="15" thickBot="1" x14ac:dyDescent="0.35">
      <c r="B3" s="20">
        <f>SUM(B4,B5,B6,B7,B8,B9,B10,B11,B12,B13,B16,B15,B14)</f>
        <v>652</v>
      </c>
      <c r="C3" s="12">
        <f>SUM(C4,C5,C6,C7,C8,C9,,C10,C11,C12,C13,C16,C15,C14)</f>
        <v>190</v>
      </c>
    </row>
    <row r="4" spans="1:5" s="5" customFormat="1" x14ac:dyDescent="0.3">
      <c r="A4" s="4" t="s">
        <v>2</v>
      </c>
      <c r="B4" s="5">
        <f>47+16</f>
        <v>63</v>
      </c>
      <c r="C4" s="5">
        <v>16</v>
      </c>
    </row>
    <row r="5" spans="1:5" x14ac:dyDescent="0.3">
      <c r="A5" s="4" t="s">
        <v>3</v>
      </c>
      <c r="B5" s="30">
        <f>90+19</f>
        <v>109</v>
      </c>
      <c r="C5" s="30">
        <v>19</v>
      </c>
      <c r="D5" s="5"/>
    </row>
    <row r="6" spans="1:5" x14ac:dyDescent="0.3">
      <c r="A6" s="4" t="s">
        <v>4</v>
      </c>
      <c r="B6" s="19">
        <f>71+106</f>
        <v>177</v>
      </c>
      <c r="C6" s="6">
        <v>106</v>
      </c>
      <c r="D6" s="5"/>
    </row>
    <row r="7" spans="1:5" x14ac:dyDescent="0.3">
      <c r="A7" s="4" t="s">
        <v>5</v>
      </c>
      <c r="B7" s="32">
        <f>58+18</f>
        <v>76</v>
      </c>
      <c r="C7" s="5">
        <v>18</v>
      </c>
      <c r="D7" s="5"/>
    </row>
    <row r="8" spans="1:5" s="15" customFormat="1" x14ac:dyDescent="0.3">
      <c r="A8" s="14" t="s">
        <v>6</v>
      </c>
      <c r="B8" s="6">
        <v>1</v>
      </c>
      <c r="C8" s="6">
        <v>1</v>
      </c>
      <c r="D8" s="5"/>
    </row>
    <row r="9" spans="1:5" x14ac:dyDescent="0.3">
      <c r="A9" s="4" t="s">
        <v>7</v>
      </c>
      <c r="B9" s="5">
        <v>0</v>
      </c>
      <c r="C9" s="5">
        <v>0</v>
      </c>
      <c r="D9" s="5"/>
    </row>
    <row r="10" spans="1:5" x14ac:dyDescent="0.3">
      <c r="A10" s="4" t="s">
        <v>8</v>
      </c>
      <c r="B10" s="5">
        <f>95+19</f>
        <v>114</v>
      </c>
      <c r="C10" s="5">
        <v>19</v>
      </c>
      <c r="D10" s="5"/>
    </row>
    <row r="11" spans="1:5" x14ac:dyDescent="0.3">
      <c r="A11" s="4" t="s">
        <v>9</v>
      </c>
      <c r="B11" s="5">
        <v>0</v>
      </c>
      <c r="C11" s="5">
        <v>0</v>
      </c>
      <c r="D11" s="5"/>
    </row>
    <row r="12" spans="1:5" x14ac:dyDescent="0.3">
      <c r="A12" s="4" t="s">
        <v>10</v>
      </c>
      <c r="B12" s="5">
        <v>58</v>
      </c>
      <c r="C12" s="5">
        <v>11</v>
      </c>
      <c r="D12" s="5"/>
    </row>
    <row r="13" spans="1:5" x14ac:dyDescent="0.3">
      <c r="A13" s="4" t="s">
        <v>11</v>
      </c>
      <c r="B13" s="5">
        <v>2</v>
      </c>
      <c r="C13" s="5">
        <v>0</v>
      </c>
      <c r="D13" s="5"/>
    </row>
    <row r="14" spans="1:5" x14ac:dyDescent="0.3">
      <c r="A14" s="4" t="s">
        <v>12</v>
      </c>
      <c r="B14" s="8">
        <v>0</v>
      </c>
      <c r="C14" s="7">
        <v>0</v>
      </c>
      <c r="D14" s="5"/>
    </row>
    <row r="15" spans="1:5" x14ac:dyDescent="0.3">
      <c r="A15" s="4" t="s">
        <v>13</v>
      </c>
      <c r="B15" s="5">
        <v>52</v>
      </c>
      <c r="C15" s="5">
        <v>0</v>
      </c>
      <c r="D15" s="5" t="s">
        <v>231</v>
      </c>
    </row>
    <row r="16" spans="1:5" x14ac:dyDescent="0.3">
      <c r="A16" s="4" t="s">
        <v>14</v>
      </c>
      <c r="B16" s="5">
        <v>0</v>
      </c>
      <c r="C16" s="5">
        <v>0</v>
      </c>
      <c r="D16" s="5"/>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P24"/>
  <sheetViews>
    <sheetView zoomScale="110" zoomScaleNormal="130" workbookViewId="0">
      <selection activeCell="C18" sqref="C18"/>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232</v>
      </c>
      <c r="B1" s="44"/>
      <c r="C1" s="44"/>
      <c r="D1" s="44"/>
      <c r="E1" s="2"/>
    </row>
    <row r="2" spans="1:5" x14ac:dyDescent="0.3">
      <c r="B2" s="9" t="s">
        <v>1</v>
      </c>
      <c r="C2" s="10" t="s">
        <v>0</v>
      </c>
    </row>
    <row r="3" spans="1:5" ht="15" thickBot="1" x14ac:dyDescent="0.35">
      <c r="B3" s="20">
        <f>SUM(B4,B5,B6,B7,B8,B9,B10,B11,B12,B13,B16,B15,B14)</f>
        <v>715</v>
      </c>
      <c r="C3" s="12">
        <f>SUM(C4,C5,C6,C7,C8,C9,,C10,C11,C12,C13,C16,C15,C14)</f>
        <v>275</v>
      </c>
    </row>
    <row r="4" spans="1:5" s="5" customFormat="1" x14ac:dyDescent="0.3">
      <c r="A4" s="4" t="s">
        <v>2</v>
      </c>
      <c r="B4" s="5">
        <f>51+20</f>
        <v>71</v>
      </c>
      <c r="C4" s="5">
        <v>20</v>
      </c>
    </row>
    <row r="5" spans="1:5" x14ac:dyDescent="0.3">
      <c r="A5" s="4" t="s">
        <v>3</v>
      </c>
      <c r="B5" s="30">
        <f>89+20</f>
        <v>109</v>
      </c>
      <c r="C5" s="30">
        <v>20</v>
      </c>
      <c r="D5" s="5"/>
    </row>
    <row r="6" spans="1:5" x14ac:dyDescent="0.3">
      <c r="A6" s="4" t="s">
        <v>4</v>
      </c>
      <c r="B6" s="19">
        <f>108+117</f>
        <v>225</v>
      </c>
      <c r="C6" s="6">
        <v>177</v>
      </c>
      <c r="D6" s="5"/>
    </row>
    <row r="7" spans="1:5" x14ac:dyDescent="0.3">
      <c r="A7" s="4" t="s">
        <v>5</v>
      </c>
      <c r="B7" s="32">
        <f>62+20</f>
        <v>82</v>
      </c>
      <c r="C7" s="5">
        <v>20</v>
      </c>
      <c r="D7" s="5"/>
    </row>
    <row r="8" spans="1:5" s="15" customFormat="1" x14ac:dyDescent="0.3">
      <c r="A8" s="14" t="s">
        <v>6</v>
      </c>
      <c r="B8" s="6">
        <v>0</v>
      </c>
      <c r="C8" s="6">
        <v>0</v>
      </c>
      <c r="D8" s="5"/>
    </row>
    <row r="9" spans="1:5" x14ac:dyDescent="0.3">
      <c r="A9" s="4" t="s">
        <v>7</v>
      </c>
      <c r="B9" s="5">
        <v>0</v>
      </c>
      <c r="C9" s="5">
        <v>0</v>
      </c>
      <c r="D9" s="5"/>
    </row>
    <row r="10" spans="1:5" x14ac:dyDescent="0.3">
      <c r="A10" s="4" t="s">
        <v>8</v>
      </c>
      <c r="B10" s="5">
        <f>102+29</f>
        <v>131</v>
      </c>
      <c r="C10" s="5">
        <v>29</v>
      </c>
      <c r="D10" s="5"/>
    </row>
    <row r="11" spans="1:5" x14ac:dyDescent="0.3">
      <c r="A11" s="4" t="s">
        <v>9</v>
      </c>
      <c r="B11" s="5">
        <v>0</v>
      </c>
      <c r="C11" s="5">
        <v>0</v>
      </c>
      <c r="D11" s="5"/>
    </row>
    <row r="12" spans="1:5" x14ac:dyDescent="0.3">
      <c r="A12" s="4" t="s">
        <v>10</v>
      </c>
      <c r="B12" s="5">
        <f>34+9</f>
        <v>43</v>
      </c>
      <c r="C12" s="5">
        <v>9</v>
      </c>
      <c r="D12" s="5"/>
    </row>
    <row r="13" spans="1:5" x14ac:dyDescent="0.3">
      <c r="A13" s="4" t="s">
        <v>11</v>
      </c>
      <c r="B13" s="5">
        <v>2</v>
      </c>
      <c r="C13" s="5">
        <v>0</v>
      </c>
      <c r="D13" s="5"/>
    </row>
    <row r="14" spans="1:5" x14ac:dyDescent="0.3">
      <c r="A14" s="4" t="s">
        <v>12</v>
      </c>
      <c r="B14" s="8">
        <v>0</v>
      </c>
      <c r="C14" s="7">
        <v>0</v>
      </c>
      <c r="D14" s="5"/>
    </row>
    <row r="15" spans="1:5" x14ac:dyDescent="0.3">
      <c r="A15" s="4" t="s">
        <v>13</v>
      </c>
      <c r="B15" s="5">
        <v>52</v>
      </c>
      <c r="C15" s="5">
        <v>0</v>
      </c>
      <c r="D15" s="5" t="s">
        <v>231</v>
      </c>
    </row>
    <row r="16" spans="1:5" x14ac:dyDescent="0.3">
      <c r="A16" s="4" t="s">
        <v>14</v>
      </c>
      <c r="B16" s="5">
        <v>0</v>
      </c>
      <c r="C16" s="5">
        <v>0</v>
      </c>
      <c r="D16" s="5"/>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P24"/>
  <sheetViews>
    <sheetView zoomScale="110" zoomScaleNormal="130" workbookViewId="0">
      <selection activeCell="C19" sqref="C19"/>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230</v>
      </c>
      <c r="B1" s="44"/>
      <c r="C1" s="44"/>
      <c r="D1" s="44"/>
      <c r="E1" s="2"/>
    </row>
    <row r="2" spans="1:5" x14ac:dyDescent="0.3">
      <c r="B2" s="9" t="s">
        <v>1</v>
      </c>
      <c r="C2" s="10" t="s">
        <v>0</v>
      </c>
    </row>
    <row r="3" spans="1:5" ht="15" thickBot="1" x14ac:dyDescent="0.35">
      <c r="B3" s="20">
        <f>SUM(B4,B5,B6,B7,B8,B9,B10,B11,B12,B13,B16,B15,B14)</f>
        <v>674</v>
      </c>
      <c r="C3" s="12">
        <f>SUM(C4,C5,C6,C7,C8,C9,,C10,C11,C12,C13,C16,C15,C14)</f>
        <v>221</v>
      </c>
    </row>
    <row r="4" spans="1:5" s="5" customFormat="1" x14ac:dyDescent="0.3">
      <c r="A4" s="4" t="s">
        <v>2</v>
      </c>
      <c r="B4" s="5">
        <f>44+22</f>
        <v>66</v>
      </c>
      <c r="C4" s="5">
        <v>22</v>
      </c>
    </row>
    <row r="5" spans="1:5" x14ac:dyDescent="0.3">
      <c r="A5" s="4" t="s">
        <v>3</v>
      </c>
      <c r="B5" s="30">
        <f>82+21</f>
        <v>103</v>
      </c>
      <c r="C5" s="30">
        <v>21</v>
      </c>
      <c r="D5" s="5"/>
    </row>
    <row r="6" spans="1:5" x14ac:dyDescent="0.3">
      <c r="A6" s="4" t="s">
        <v>4</v>
      </c>
      <c r="B6" s="19">
        <f>117+122</f>
        <v>239</v>
      </c>
      <c r="C6" s="6">
        <v>122</v>
      </c>
      <c r="D6" s="5"/>
    </row>
    <row r="7" spans="1:5" x14ac:dyDescent="0.3">
      <c r="A7" s="4" t="s">
        <v>5</v>
      </c>
      <c r="B7" s="32">
        <f>61+19</f>
        <v>80</v>
      </c>
      <c r="C7" s="5">
        <v>19</v>
      </c>
      <c r="D7" s="5"/>
    </row>
    <row r="8" spans="1:5" s="15" customFormat="1" x14ac:dyDescent="0.3">
      <c r="A8" s="14" t="s">
        <v>6</v>
      </c>
      <c r="B8" s="6">
        <v>0</v>
      </c>
      <c r="C8" s="6">
        <v>0</v>
      </c>
      <c r="D8" s="5"/>
    </row>
    <row r="9" spans="1:5" x14ac:dyDescent="0.3">
      <c r="A9" s="4" t="s">
        <v>7</v>
      </c>
      <c r="B9" s="5">
        <v>0</v>
      </c>
      <c r="C9" s="5">
        <v>0</v>
      </c>
      <c r="D9" s="5"/>
    </row>
    <row r="10" spans="1:5" x14ac:dyDescent="0.3">
      <c r="A10" s="4" t="s">
        <v>8</v>
      </c>
      <c r="B10" s="5">
        <f>107+27</f>
        <v>134</v>
      </c>
      <c r="C10" s="5">
        <v>27</v>
      </c>
      <c r="D10" s="5"/>
    </row>
    <row r="11" spans="1:5" x14ac:dyDescent="0.3">
      <c r="A11" s="4" t="s">
        <v>9</v>
      </c>
      <c r="B11" s="5">
        <v>0</v>
      </c>
      <c r="C11" s="5">
        <v>0</v>
      </c>
      <c r="D11" s="5"/>
    </row>
    <row r="12" spans="1:5" x14ac:dyDescent="0.3">
      <c r="A12" s="4" t="s">
        <v>10</v>
      </c>
      <c r="B12" s="5">
        <f>40+10</f>
        <v>50</v>
      </c>
      <c r="C12" s="5">
        <v>10</v>
      </c>
      <c r="D12" s="5"/>
    </row>
    <row r="13" spans="1:5" x14ac:dyDescent="0.3">
      <c r="A13" s="4" t="s">
        <v>11</v>
      </c>
      <c r="B13" s="5">
        <v>2</v>
      </c>
      <c r="C13" s="5">
        <v>0</v>
      </c>
      <c r="D13" s="5"/>
    </row>
    <row r="14" spans="1:5" x14ac:dyDescent="0.3">
      <c r="A14" s="4" t="s">
        <v>12</v>
      </c>
      <c r="B14" s="8">
        <v>0</v>
      </c>
      <c r="C14" s="7">
        <v>0</v>
      </c>
      <c r="D14" s="5"/>
    </row>
    <row r="15" spans="1:5" x14ac:dyDescent="0.3">
      <c r="A15" s="4" t="s">
        <v>13</v>
      </c>
      <c r="B15" s="5">
        <v>0</v>
      </c>
      <c r="C15" s="5">
        <v>0</v>
      </c>
      <c r="D15" s="5" t="s">
        <v>231</v>
      </c>
    </row>
    <row r="16" spans="1:5" x14ac:dyDescent="0.3">
      <c r="A16" s="4" t="s">
        <v>14</v>
      </c>
      <c r="B16" s="5">
        <v>0</v>
      </c>
      <c r="C16" s="5">
        <v>0</v>
      </c>
      <c r="D16" s="5"/>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P24"/>
  <sheetViews>
    <sheetView zoomScale="110" zoomScaleNormal="130" workbookViewId="0">
      <selection activeCell="B15" sqref="B15"/>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229</v>
      </c>
      <c r="B1" s="44"/>
      <c r="C1" s="44"/>
      <c r="D1" s="44"/>
      <c r="E1" s="2"/>
    </row>
    <row r="2" spans="1:5" x14ac:dyDescent="0.3">
      <c r="B2" s="9" t="s">
        <v>1</v>
      </c>
      <c r="C2" s="10" t="s">
        <v>0</v>
      </c>
    </row>
    <row r="3" spans="1:5" ht="15" thickBot="1" x14ac:dyDescent="0.35">
      <c r="B3" s="20">
        <f>SUM(B4,B5,B6,B7,B8,B9,B10,B11,B12,B13,B16,B15,B14)</f>
        <v>764</v>
      </c>
      <c r="C3" s="12">
        <f>SUM(C4,C5,C6,C7,C8,C9,,C10,C11,C12,C13,C16,C15,C14)</f>
        <v>231</v>
      </c>
    </row>
    <row r="4" spans="1:5" s="5" customFormat="1" x14ac:dyDescent="0.3">
      <c r="A4" s="4" t="s">
        <v>2</v>
      </c>
      <c r="B4" s="5">
        <v>63</v>
      </c>
      <c r="C4" s="5">
        <v>17</v>
      </c>
    </row>
    <row r="5" spans="1:5" x14ac:dyDescent="0.3">
      <c r="A5" s="4" t="s">
        <v>3</v>
      </c>
      <c r="B5" s="30">
        <v>110</v>
      </c>
      <c r="C5" s="30">
        <v>26</v>
      </c>
      <c r="D5" s="5"/>
    </row>
    <row r="6" spans="1:5" x14ac:dyDescent="0.3">
      <c r="A6" s="4" t="s">
        <v>4</v>
      </c>
      <c r="B6" s="19">
        <v>227</v>
      </c>
      <c r="C6" s="6">
        <v>131</v>
      </c>
      <c r="D6" s="5"/>
    </row>
    <row r="7" spans="1:5" x14ac:dyDescent="0.3">
      <c r="A7" s="4" t="s">
        <v>5</v>
      </c>
      <c r="B7" s="32">
        <v>87</v>
      </c>
      <c r="C7" s="5">
        <v>20</v>
      </c>
      <c r="D7" s="5"/>
    </row>
    <row r="8" spans="1:5" s="15" customFormat="1" x14ac:dyDescent="0.3">
      <c r="A8" s="14" t="s">
        <v>6</v>
      </c>
      <c r="B8" s="6">
        <v>0</v>
      </c>
      <c r="C8" s="6">
        <v>0</v>
      </c>
      <c r="D8" s="5"/>
    </row>
    <row r="9" spans="1:5" x14ac:dyDescent="0.3">
      <c r="A9" s="4" t="s">
        <v>7</v>
      </c>
      <c r="B9" s="5">
        <v>0</v>
      </c>
      <c r="C9" s="5">
        <v>0</v>
      </c>
      <c r="D9" s="5"/>
    </row>
    <row r="10" spans="1:5" x14ac:dyDescent="0.3">
      <c r="A10" s="4" t="s">
        <v>8</v>
      </c>
      <c r="B10" s="5">
        <v>136</v>
      </c>
      <c r="C10" s="5">
        <v>26</v>
      </c>
      <c r="D10" s="5"/>
    </row>
    <row r="11" spans="1:5" x14ac:dyDescent="0.3">
      <c r="A11" s="4" t="s">
        <v>9</v>
      </c>
      <c r="B11" s="5">
        <v>0</v>
      </c>
      <c r="C11" s="5">
        <v>0</v>
      </c>
      <c r="D11" s="5"/>
    </row>
    <row r="12" spans="1:5" x14ac:dyDescent="0.3">
      <c r="A12" s="4" t="s">
        <v>10</v>
      </c>
      <c r="B12" s="5">
        <v>62</v>
      </c>
      <c r="C12" s="5">
        <v>11</v>
      </c>
      <c r="D12" s="5"/>
    </row>
    <row r="13" spans="1:5" x14ac:dyDescent="0.3">
      <c r="A13" s="4" t="s">
        <v>11</v>
      </c>
      <c r="B13" s="5">
        <v>2</v>
      </c>
      <c r="C13" s="5">
        <v>0</v>
      </c>
      <c r="D13" s="5"/>
    </row>
    <row r="14" spans="1:5" x14ac:dyDescent="0.3">
      <c r="A14" s="4" t="s">
        <v>12</v>
      </c>
      <c r="B14" s="8">
        <v>0</v>
      </c>
      <c r="C14" s="7">
        <v>0</v>
      </c>
      <c r="D14" s="5"/>
    </row>
    <row r="15" spans="1:5" x14ac:dyDescent="0.3">
      <c r="A15" s="4" t="s">
        <v>13</v>
      </c>
      <c r="B15" s="5">
        <v>77</v>
      </c>
      <c r="C15" s="5">
        <v>0</v>
      </c>
      <c r="D15" s="5"/>
    </row>
    <row r="16" spans="1:5" x14ac:dyDescent="0.3">
      <c r="A16" s="4" t="s">
        <v>14</v>
      </c>
      <c r="B16" s="5">
        <v>0</v>
      </c>
      <c r="C16" s="5">
        <v>0</v>
      </c>
      <c r="D16" s="5"/>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479F7-378E-40CE-BED2-642841D87F53}">
  <dimension ref="A1:P26"/>
  <sheetViews>
    <sheetView zoomScaleNormal="100" workbookViewId="0">
      <selection activeCell="A26" sqref="A26"/>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487</v>
      </c>
      <c r="B1" s="44"/>
      <c r="C1" s="44"/>
      <c r="D1" s="44"/>
      <c r="E1" s="2"/>
    </row>
    <row r="2" spans="1:5" x14ac:dyDescent="0.3">
      <c r="B2" s="9" t="s">
        <v>1</v>
      </c>
      <c r="C2" s="10" t="s">
        <v>0</v>
      </c>
    </row>
    <row r="3" spans="1:5" ht="15" thickBot="1" x14ac:dyDescent="0.35">
      <c r="B3" s="20">
        <f>SUM(B4,B5,B6,B7,B8,B9,B10,B11,B12,B13,B16,B15,B14)</f>
        <v>3204</v>
      </c>
      <c r="C3" s="12">
        <f>SUM(C4,C5,C6,C7,C8,C9,,C10,C11,C12,C13,C16,C15,C14)</f>
        <v>230</v>
      </c>
    </row>
    <row r="4" spans="1:5" s="5" customFormat="1" x14ac:dyDescent="0.3">
      <c r="A4" s="4" t="s">
        <v>2</v>
      </c>
      <c r="B4" s="18">
        <v>421</v>
      </c>
      <c r="C4" s="5">
        <v>41</v>
      </c>
    </row>
    <row r="5" spans="1:5" x14ac:dyDescent="0.3">
      <c r="A5" s="4" t="s">
        <v>3</v>
      </c>
      <c r="B5" s="30">
        <v>816</v>
      </c>
      <c r="C5" s="30">
        <v>24</v>
      </c>
      <c r="D5" s="5"/>
    </row>
    <row r="6" spans="1:5" x14ac:dyDescent="0.3">
      <c r="A6" s="4" t="s">
        <v>4</v>
      </c>
      <c r="B6" s="19">
        <v>549</v>
      </c>
      <c r="C6" s="6">
        <v>118</v>
      </c>
      <c r="D6" s="5"/>
    </row>
    <row r="7" spans="1:5" x14ac:dyDescent="0.3">
      <c r="A7" s="4" t="s">
        <v>5</v>
      </c>
      <c r="B7" s="32">
        <v>1012</v>
      </c>
      <c r="C7" s="5">
        <v>25</v>
      </c>
      <c r="D7" s="5"/>
    </row>
    <row r="8" spans="1:5" s="15" customFormat="1" x14ac:dyDescent="0.3">
      <c r="A8" s="14" t="s">
        <v>6</v>
      </c>
      <c r="B8" s="6">
        <v>32</v>
      </c>
      <c r="C8" s="6">
        <v>4</v>
      </c>
      <c r="D8" s="5"/>
    </row>
    <row r="9" spans="1:5" x14ac:dyDescent="0.3">
      <c r="A9" s="4" t="s">
        <v>7</v>
      </c>
      <c r="B9" s="5">
        <v>28</v>
      </c>
      <c r="C9" s="5">
        <v>3</v>
      </c>
      <c r="D9" s="5"/>
    </row>
    <row r="10" spans="1:5" x14ac:dyDescent="0.3">
      <c r="A10" s="4" t="s">
        <v>8</v>
      </c>
      <c r="B10" s="5">
        <v>100</v>
      </c>
      <c r="C10" s="5">
        <v>7</v>
      </c>
      <c r="D10" s="5"/>
    </row>
    <row r="11" spans="1:5" x14ac:dyDescent="0.3">
      <c r="A11" s="4" t="s">
        <v>9</v>
      </c>
      <c r="B11" s="5">
        <v>9</v>
      </c>
      <c r="C11" s="5">
        <v>0</v>
      </c>
      <c r="D11" s="5"/>
    </row>
    <row r="12" spans="1:5" x14ac:dyDescent="0.3">
      <c r="A12" s="4" t="s">
        <v>10</v>
      </c>
      <c r="B12" s="5">
        <v>232</v>
      </c>
      <c r="C12" s="5">
        <v>6</v>
      </c>
      <c r="D12" s="5"/>
    </row>
    <row r="13" spans="1:5" x14ac:dyDescent="0.3">
      <c r="A13" s="4" t="s">
        <v>11</v>
      </c>
      <c r="B13" s="5">
        <v>5</v>
      </c>
      <c r="C13" s="5">
        <v>2</v>
      </c>
      <c r="D13" s="5"/>
    </row>
    <row r="14" spans="1:5" x14ac:dyDescent="0.3">
      <c r="A14" s="4" t="s">
        <v>12</v>
      </c>
      <c r="B14" s="8">
        <v>0</v>
      </c>
      <c r="C14" s="7">
        <v>0</v>
      </c>
      <c r="D14" s="5"/>
    </row>
    <row r="15" spans="1:5" x14ac:dyDescent="0.3">
      <c r="A15" s="4" t="s">
        <v>13</v>
      </c>
      <c r="B15" s="5">
        <v>0</v>
      </c>
      <c r="C15" s="5">
        <v>0</v>
      </c>
      <c r="D15" s="5" t="s">
        <v>231</v>
      </c>
    </row>
    <row r="16" spans="1:5" x14ac:dyDescent="0.3">
      <c r="A16" s="4" t="s">
        <v>14</v>
      </c>
      <c r="B16" s="5">
        <v>0</v>
      </c>
      <c r="C16" s="5">
        <v>0</v>
      </c>
      <c r="D16" s="5"/>
    </row>
    <row r="17" spans="1:9" x14ac:dyDescent="0.3">
      <c r="B17" s="3"/>
    </row>
    <row r="20" spans="1:9" x14ac:dyDescent="0.3">
      <c r="A20" s="1" t="s">
        <v>122</v>
      </c>
    </row>
    <row r="21" spans="1:9" s="3" customFormat="1" x14ac:dyDescent="0.3">
      <c r="A21" s="33" t="s">
        <v>480</v>
      </c>
      <c r="B21" s="8"/>
    </row>
    <row r="22" spans="1:9" s="3" customFormat="1" x14ac:dyDescent="0.3">
      <c r="A22" s="34" t="s">
        <v>485</v>
      </c>
      <c r="B22" s="8"/>
    </row>
    <row r="23" spans="1:9" s="3" customFormat="1" x14ac:dyDescent="0.3">
      <c r="A23" s="35" t="s">
        <v>471</v>
      </c>
      <c r="B23" s="8"/>
    </row>
    <row r="24" spans="1:9" s="3" customFormat="1" x14ac:dyDescent="0.3">
      <c r="A24" s="33" t="s">
        <v>488</v>
      </c>
      <c r="B24" s="8"/>
    </row>
    <row r="25" spans="1:9" s="3" customFormat="1" x14ac:dyDescent="0.3">
      <c r="A25" s="36" t="s">
        <v>489</v>
      </c>
      <c r="B25" s="8"/>
    </row>
    <row r="26" spans="1:9" s="3" customFormat="1" x14ac:dyDescent="0.3">
      <c r="A26" s="33" t="s">
        <v>490</v>
      </c>
      <c r="B26" s="8"/>
      <c r="I26" s="3" t="s">
        <v>414</v>
      </c>
    </row>
  </sheetData>
  <mergeCells count="1">
    <mergeCell ref="A1:D1"/>
  </mergeCells>
  <hyperlinks>
    <hyperlink ref="A21" r:id="rId1" display="** NT's official website does not disclose the number of current hospitalizations, but according to the press, between April 1st and April 19th, the NWT reported eight new hospitalizations and one intensive care admission. " xr:uid="{D6DFDF6E-91DB-4028-9C59-9C49BFE830B0}"/>
    <hyperlink ref="A22" r:id="rId2" display="**** YT's official website is now informing the number of hospitalizations, which is 2 as of March 7th." xr:uid="{FB26D644-3E88-4959-9D68-E63A5FCBE324}"/>
    <hyperlink ref="A23" r:id="rId3" xr:uid="{45D6AA7F-D5A3-436D-8C84-57BE2E9DA903}"/>
    <hyperlink ref="A24" r:id="rId4" display="*****NB's latest official report only informs the number of patients admitted for Covid-19, not including the number of patients that were admitted for other reasons and tested positive for Covid-19 later on." xr:uid="{644F5DB9-891E-4849-848E-B6C76B419349}"/>
    <hyperlink ref="A26" r:id="rId5" display="*******SK's information was extracted from the latest official report from May 25th, covering the week of May 15th-21st." xr:uid="{E3293C8E-16B9-4AE7-A105-4D81E416B9EE}"/>
    <hyperlink ref="A25" r:id="rId6" display="******MB's official website is no longer doing daily reporting. The information was extracted from the latest offical report from May 10th. Note that these are the numbers of new hospitalizations and ICU admissions for the May 1st-7th week. The numbers of" xr:uid="{109BB6BF-111E-469A-B7BF-C84651E623C5}"/>
  </hyperlinks>
  <pageMargins left="0.7" right="0.7" top="0.75" bottom="0.75" header="0.3" footer="0.3"/>
  <pageSetup orientation="portrait" r:id="rId7"/>
  <drawing r:id="rId8"/>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P24"/>
  <sheetViews>
    <sheetView zoomScale="110" zoomScaleNormal="130" workbookViewId="0">
      <selection activeCell="B15" sqref="B15"/>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228</v>
      </c>
      <c r="B1" s="44"/>
      <c r="C1" s="44"/>
      <c r="D1" s="44"/>
      <c r="E1" s="2"/>
    </row>
    <row r="2" spans="1:5" x14ac:dyDescent="0.3">
      <c r="B2" s="9" t="s">
        <v>1</v>
      </c>
      <c r="C2" s="10" t="s">
        <v>0</v>
      </c>
    </row>
    <row r="3" spans="1:5" ht="15" thickBot="1" x14ac:dyDescent="0.35">
      <c r="B3" s="20">
        <f>SUM(B4,B5,B6,B7,B8,B9,B10,B11,B12,B13,B16,B15,B14)</f>
        <v>584</v>
      </c>
      <c r="C3" s="12">
        <f>SUM(C4,C5,C6,C7,C8,C9,,C10,C11,C12,C13,C16,C15,C14)</f>
        <v>243</v>
      </c>
    </row>
    <row r="4" spans="1:5" s="5" customFormat="1" x14ac:dyDescent="0.3">
      <c r="A4" s="4" t="s">
        <v>2</v>
      </c>
      <c r="B4" s="5">
        <v>53</v>
      </c>
      <c r="C4" s="5">
        <v>16</v>
      </c>
    </row>
    <row r="5" spans="1:5" x14ac:dyDescent="0.3">
      <c r="A5" s="4" t="s">
        <v>3</v>
      </c>
      <c r="B5" s="30">
        <v>93</v>
      </c>
      <c r="C5" s="30">
        <v>26</v>
      </c>
    </row>
    <row r="6" spans="1:5" x14ac:dyDescent="0.3">
      <c r="A6" s="4" t="s">
        <v>4</v>
      </c>
      <c r="B6" s="19">
        <v>140</v>
      </c>
      <c r="C6" s="6">
        <v>141</v>
      </c>
    </row>
    <row r="7" spans="1:5" x14ac:dyDescent="0.3">
      <c r="A7" s="4" t="s">
        <v>5</v>
      </c>
      <c r="B7" s="32">
        <v>71</v>
      </c>
      <c r="C7" s="5">
        <v>21</v>
      </c>
    </row>
    <row r="8" spans="1:5" s="15" customFormat="1" x14ac:dyDescent="0.3">
      <c r="A8" s="14" t="s">
        <v>6</v>
      </c>
      <c r="B8" s="6">
        <v>0</v>
      </c>
      <c r="C8" s="6">
        <v>0</v>
      </c>
    </row>
    <row r="9" spans="1:5" x14ac:dyDescent="0.3">
      <c r="A9" s="4" t="s">
        <v>7</v>
      </c>
      <c r="B9" s="5">
        <v>0</v>
      </c>
      <c r="C9" s="5">
        <v>0</v>
      </c>
    </row>
    <row r="10" spans="1:5" x14ac:dyDescent="0.3">
      <c r="A10" s="4" t="s">
        <v>8</v>
      </c>
      <c r="B10" s="5">
        <v>105</v>
      </c>
      <c r="C10" s="5">
        <v>28</v>
      </c>
    </row>
    <row r="11" spans="1:5" x14ac:dyDescent="0.3">
      <c r="A11" s="4" t="s">
        <v>9</v>
      </c>
      <c r="B11" s="5">
        <v>0</v>
      </c>
      <c r="C11" s="5">
        <v>0</v>
      </c>
    </row>
    <row r="12" spans="1:5" x14ac:dyDescent="0.3">
      <c r="A12" s="4" t="s">
        <v>10</v>
      </c>
      <c r="B12" s="5">
        <v>48</v>
      </c>
      <c r="C12" s="5">
        <v>11</v>
      </c>
    </row>
    <row r="13" spans="1:5" x14ac:dyDescent="0.3">
      <c r="A13" s="4" t="s">
        <v>11</v>
      </c>
      <c r="B13" s="5">
        <v>2</v>
      </c>
      <c r="C13" s="5">
        <v>0</v>
      </c>
    </row>
    <row r="14" spans="1:5" x14ac:dyDescent="0.3">
      <c r="A14" s="4" t="s">
        <v>12</v>
      </c>
      <c r="B14" s="8">
        <v>0</v>
      </c>
      <c r="C14" s="7">
        <v>0</v>
      </c>
    </row>
    <row r="15" spans="1:5" x14ac:dyDescent="0.3">
      <c r="A15" s="4" t="s">
        <v>13</v>
      </c>
      <c r="B15" s="5">
        <v>72</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P24"/>
  <sheetViews>
    <sheetView topLeftCell="A7" zoomScale="110" zoomScaleNormal="130" workbookViewId="0">
      <selection activeCell="B15" sqref="B15"/>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227</v>
      </c>
      <c r="B1" s="44"/>
      <c r="C1" s="44"/>
      <c r="D1" s="44"/>
      <c r="E1" s="2"/>
    </row>
    <row r="2" spans="1:5" x14ac:dyDescent="0.3">
      <c r="B2" s="9" t="s">
        <v>1</v>
      </c>
      <c r="C2" s="10" t="s">
        <v>0</v>
      </c>
    </row>
    <row r="3" spans="1:5" ht="15" thickBot="1" x14ac:dyDescent="0.35">
      <c r="B3" s="20">
        <f>SUM(B4,B5,B6,B7,B8,B9,B10,B11,B12,B13,B16,B15,B14)</f>
        <v>580</v>
      </c>
      <c r="C3" s="12">
        <f>SUM(C4,C5,C6,C7,C8,C9,,C10,C11,C12,C13,C16,C15,C14)</f>
        <v>244</v>
      </c>
    </row>
    <row r="4" spans="1:5" s="5" customFormat="1" x14ac:dyDescent="0.3">
      <c r="A4" s="4" t="s">
        <v>2</v>
      </c>
      <c r="B4" s="5">
        <v>50</v>
      </c>
      <c r="C4" s="5">
        <v>12</v>
      </c>
    </row>
    <row r="5" spans="1:5" x14ac:dyDescent="0.3">
      <c r="A5" s="4" t="s">
        <v>3</v>
      </c>
      <c r="B5" s="30">
        <v>98</v>
      </c>
      <c r="C5" s="30">
        <v>27</v>
      </c>
    </row>
    <row r="6" spans="1:5" x14ac:dyDescent="0.3">
      <c r="A6" s="4" t="s">
        <v>4</v>
      </c>
      <c r="B6" s="19">
        <v>139</v>
      </c>
      <c r="C6" s="6">
        <v>145</v>
      </c>
    </row>
    <row r="7" spans="1:5" x14ac:dyDescent="0.3">
      <c r="A7" s="4" t="s">
        <v>5</v>
      </c>
      <c r="B7" s="32">
        <v>72</v>
      </c>
      <c r="C7" s="5">
        <v>21</v>
      </c>
    </row>
    <row r="8" spans="1:5" s="15" customFormat="1" x14ac:dyDescent="0.3">
      <c r="A8" s="14" t="s">
        <v>6</v>
      </c>
      <c r="B8" s="6">
        <v>0</v>
      </c>
      <c r="C8" s="6">
        <v>0</v>
      </c>
    </row>
    <row r="9" spans="1:5" x14ac:dyDescent="0.3">
      <c r="A9" s="4" t="s">
        <v>7</v>
      </c>
      <c r="B9" s="5">
        <v>0</v>
      </c>
      <c r="C9" s="5">
        <v>0</v>
      </c>
    </row>
    <row r="10" spans="1:5" x14ac:dyDescent="0.3">
      <c r="A10" s="4" t="s">
        <v>8</v>
      </c>
      <c r="B10" s="5">
        <v>105</v>
      </c>
      <c r="C10" s="5">
        <v>29</v>
      </c>
    </row>
    <row r="11" spans="1:5" x14ac:dyDescent="0.3">
      <c r="A11" s="4" t="s">
        <v>9</v>
      </c>
      <c r="B11" s="5">
        <v>0</v>
      </c>
      <c r="C11" s="5">
        <v>0</v>
      </c>
    </row>
    <row r="12" spans="1:5" x14ac:dyDescent="0.3">
      <c r="A12" s="4" t="s">
        <v>10</v>
      </c>
      <c r="B12" s="5">
        <v>49</v>
      </c>
      <c r="C12" s="5">
        <v>10</v>
      </c>
    </row>
    <row r="13" spans="1:5" x14ac:dyDescent="0.3">
      <c r="A13" s="4" t="s">
        <v>11</v>
      </c>
      <c r="B13" s="5">
        <v>2</v>
      </c>
      <c r="C13" s="5">
        <v>0</v>
      </c>
    </row>
    <row r="14" spans="1:5" x14ac:dyDescent="0.3">
      <c r="A14" s="4" t="s">
        <v>12</v>
      </c>
      <c r="B14" s="8">
        <v>0</v>
      </c>
      <c r="C14" s="7">
        <v>0</v>
      </c>
    </row>
    <row r="15" spans="1:5" x14ac:dyDescent="0.3">
      <c r="A15" s="4" t="s">
        <v>13</v>
      </c>
      <c r="B15" s="5">
        <v>65</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P24"/>
  <sheetViews>
    <sheetView zoomScale="110" zoomScaleNormal="130" workbookViewId="0">
      <selection activeCell="B15" sqref="B15"/>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226</v>
      </c>
      <c r="B1" s="44"/>
      <c r="C1" s="44"/>
      <c r="D1" s="44"/>
      <c r="E1" s="2"/>
    </row>
    <row r="2" spans="1:5" x14ac:dyDescent="0.3">
      <c r="B2" s="9" t="s">
        <v>1</v>
      </c>
      <c r="C2" s="10" t="s">
        <v>0</v>
      </c>
    </row>
    <row r="3" spans="1:5" ht="15" thickBot="1" x14ac:dyDescent="0.35">
      <c r="B3" s="20">
        <f>SUM(B4,B5,B6,B7,B8,B9,B10,B11,B12,B13,B16,B15,B14)</f>
        <v>597</v>
      </c>
      <c r="C3" s="12">
        <f>SUM(C4,C5,C6,C7,C8,C9,,C10,C11,C12,C13,C16,C15,C14)</f>
        <v>251</v>
      </c>
    </row>
    <row r="4" spans="1:5" s="5" customFormat="1" x14ac:dyDescent="0.3">
      <c r="A4" s="4" t="s">
        <v>2</v>
      </c>
      <c r="B4" s="5">
        <v>60</v>
      </c>
      <c r="C4" s="5">
        <v>12</v>
      </c>
    </row>
    <row r="5" spans="1:5" x14ac:dyDescent="0.3">
      <c r="A5" s="4" t="s">
        <v>3</v>
      </c>
      <c r="B5" s="30">
        <v>110</v>
      </c>
      <c r="C5" s="30">
        <v>28</v>
      </c>
    </row>
    <row r="6" spans="1:5" x14ac:dyDescent="0.3">
      <c r="A6" s="4" t="s">
        <v>4</v>
      </c>
      <c r="B6" s="19">
        <v>115</v>
      </c>
      <c r="C6" s="6">
        <v>151</v>
      </c>
    </row>
    <row r="7" spans="1:5" x14ac:dyDescent="0.3">
      <c r="A7" s="4" t="s">
        <v>5</v>
      </c>
      <c r="B7" s="32">
        <v>78</v>
      </c>
      <c r="C7" s="5">
        <v>23</v>
      </c>
    </row>
    <row r="8" spans="1:5" s="15" customFormat="1" x14ac:dyDescent="0.3">
      <c r="A8" s="14" t="s">
        <v>6</v>
      </c>
      <c r="B8" s="6">
        <v>1</v>
      </c>
      <c r="C8" s="6">
        <v>1</v>
      </c>
    </row>
    <row r="9" spans="1:5" x14ac:dyDescent="0.3">
      <c r="A9" s="4" t="s">
        <v>7</v>
      </c>
      <c r="B9" s="5">
        <v>0</v>
      </c>
      <c r="C9" s="5">
        <v>0</v>
      </c>
    </row>
    <row r="10" spans="1:5" x14ac:dyDescent="0.3">
      <c r="A10" s="4" t="s">
        <v>8</v>
      </c>
      <c r="B10" s="5">
        <v>117</v>
      </c>
      <c r="C10" s="5">
        <v>27</v>
      </c>
    </row>
    <row r="11" spans="1:5" x14ac:dyDescent="0.3">
      <c r="A11" s="4" t="s">
        <v>9</v>
      </c>
      <c r="B11" s="5">
        <v>0</v>
      </c>
      <c r="C11" s="5">
        <v>0</v>
      </c>
    </row>
    <row r="12" spans="1:5" x14ac:dyDescent="0.3">
      <c r="A12" s="4" t="s">
        <v>10</v>
      </c>
      <c r="B12" s="5">
        <v>44</v>
      </c>
      <c r="C12" s="5">
        <v>9</v>
      </c>
    </row>
    <row r="13" spans="1:5" x14ac:dyDescent="0.3">
      <c r="A13" s="4" t="s">
        <v>11</v>
      </c>
      <c r="B13" s="5">
        <v>3</v>
      </c>
      <c r="C13" s="5">
        <v>0</v>
      </c>
    </row>
    <row r="14" spans="1:5" x14ac:dyDescent="0.3">
      <c r="A14" s="4" t="s">
        <v>12</v>
      </c>
      <c r="B14" s="8">
        <v>0</v>
      </c>
      <c r="C14" s="7">
        <v>0</v>
      </c>
    </row>
    <row r="15" spans="1:5" x14ac:dyDescent="0.3">
      <c r="A15" s="4" t="s">
        <v>13</v>
      </c>
      <c r="B15" s="5">
        <v>69</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P24"/>
  <sheetViews>
    <sheetView topLeftCell="A7" zoomScale="110" zoomScaleNormal="130" workbookViewId="0">
      <selection activeCell="C16" sqref="C16"/>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225</v>
      </c>
      <c r="B1" s="44"/>
      <c r="C1" s="44"/>
      <c r="D1" s="44"/>
      <c r="E1" s="2"/>
    </row>
    <row r="2" spans="1:5" x14ac:dyDescent="0.3">
      <c r="B2" s="9" t="s">
        <v>1</v>
      </c>
      <c r="C2" s="10" t="s">
        <v>0</v>
      </c>
    </row>
    <row r="3" spans="1:5" ht="15" thickBot="1" x14ac:dyDescent="0.35">
      <c r="B3" s="20">
        <f>SUM(B4,B5,B6,B7,B8,B9,B10,B11,B12,B13,B16,B15,B14)</f>
        <v>653</v>
      </c>
      <c r="C3" s="12">
        <f>SUM(C4,C5,C6,C7,C8,C9,,C10,C11,C12,C13,C16,C15,C14)</f>
        <v>264</v>
      </c>
    </row>
    <row r="4" spans="1:5" s="5" customFormat="1" x14ac:dyDescent="0.3">
      <c r="A4" s="4" t="s">
        <v>2</v>
      </c>
      <c r="B4" s="5">
        <v>63</v>
      </c>
      <c r="C4" s="5">
        <v>11</v>
      </c>
    </row>
    <row r="5" spans="1:5" x14ac:dyDescent="0.3">
      <c r="A5" s="4" t="s">
        <v>3</v>
      </c>
      <c r="B5" s="30">
        <v>107</v>
      </c>
      <c r="C5" s="30">
        <v>31</v>
      </c>
    </row>
    <row r="6" spans="1:5" x14ac:dyDescent="0.3">
      <c r="A6" s="4" t="s">
        <v>4</v>
      </c>
      <c r="B6" s="19">
        <v>159</v>
      </c>
      <c r="C6" s="6">
        <v>158</v>
      </c>
    </row>
    <row r="7" spans="1:5" x14ac:dyDescent="0.3">
      <c r="A7" s="4" t="s">
        <v>5</v>
      </c>
      <c r="B7" s="32">
        <v>84</v>
      </c>
      <c r="C7" s="5">
        <v>25</v>
      </c>
    </row>
    <row r="8" spans="1:5" s="15" customFormat="1" x14ac:dyDescent="0.3">
      <c r="A8" s="14" t="s">
        <v>6</v>
      </c>
      <c r="B8" s="6">
        <v>1</v>
      </c>
      <c r="C8" s="6">
        <v>1</v>
      </c>
    </row>
    <row r="9" spans="1:5" x14ac:dyDescent="0.3">
      <c r="A9" s="4" t="s">
        <v>7</v>
      </c>
      <c r="B9" s="5">
        <v>0</v>
      </c>
      <c r="C9" s="5">
        <v>0</v>
      </c>
    </row>
    <row r="10" spans="1:5" x14ac:dyDescent="0.3">
      <c r="A10" s="4" t="s">
        <v>8</v>
      </c>
      <c r="B10" s="5">
        <v>126</v>
      </c>
      <c r="C10" s="5">
        <v>29</v>
      </c>
    </row>
    <row r="11" spans="1:5" x14ac:dyDescent="0.3">
      <c r="A11" s="4" t="s">
        <v>9</v>
      </c>
      <c r="B11" s="5">
        <v>0</v>
      </c>
      <c r="C11" s="5">
        <v>0</v>
      </c>
    </row>
    <row r="12" spans="1:5" x14ac:dyDescent="0.3">
      <c r="A12" s="4" t="s">
        <v>10</v>
      </c>
      <c r="B12" s="5">
        <v>43</v>
      </c>
      <c r="C12" s="5">
        <v>9</v>
      </c>
    </row>
    <row r="13" spans="1:5" x14ac:dyDescent="0.3">
      <c r="A13" s="4" t="s">
        <v>11</v>
      </c>
      <c r="B13" s="5">
        <v>1</v>
      </c>
      <c r="C13" s="5">
        <v>0</v>
      </c>
    </row>
    <row r="14" spans="1:5" x14ac:dyDescent="0.3">
      <c r="A14" s="4" t="s">
        <v>12</v>
      </c>
      <c r="B14" s="8">
        <v>0</v>
      </c>
      <c r="C14" s="7">
        <v>0</v>
      </c>
    </row>
    <row r="15" spans="1:5" x14ac:dyDescent="0.3">
      <c r="A15" s="4" t="s">
        <v>13</v>
      </c>
      <c r="B15" s="5">
        <v>69</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P24"/>
  <sheetViews>
    <sheetView zoomScale="110" zoomScaleNormal="130" workbookViewId="0">
      <selection activeCell="B24" sqref="B2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224</v>
      </c>
      <c r="B1" s="44"/>
      <c r="C1" s="44"/>
      <c r="D1" s="44"/>
      <c r="E1" s="2"/>
    </row>
    <row r="2" spans="1:5" x14ac:dyDescent="0.3">
      <c r="B2" s="9" t="s">
        <v>1</v>
      </c>
      <c r="C2" s="10" t="s">
        <v>0</v>
      </c>
    </row>
    <row r="3" spans="1:5" ht="15" thickBot="1" x14ac:dyDescent="0.35">
      <c r="B3" s="20">
        <f>SUM(B4,B5,B6,B7,B8,B9,B10,B11,B12,B13,B16,B15,B14)</f>
        <v>609</v>
      </c>
      <c r="C3" s="12">
        <f>SUM(C4,C5,C6,C7,C8,C9,,C10,C11,C12,C13,C16,C15,C14)</f>
        <v>294</v>
      </c>
    </row>
    <row r="4" spans="1:5" s="5" customFormat="1" x14ac:dyDescent="0.3">
      <c r="A4" s="4" t="s">
        <v>2</v>
      </c>
      <c r="B4" s="5">
        <v>66</v>
      </c>
      <c r="C4" s="5">
        <v>14</v>
      </c>
    </row>
    <row r="5" spans="1:5" x14ac:dyDescent="0.3">
      <c r="A5" s="4" t="s">
        <v>3</v>
      </c>
      <c r="B5" s="30">
        <v>112</v>
      </c>
      <c r="C5" s="30">
        <v>33</v>
      </c>
    </row>
    <row r="6" spans="1:5" x14ac:dyDescent="0.3">
      <c r="A6" s="4" t="s">
        <v>4</v>
      </c>
      <c r="B6" s="19">
        <v>174</v>
      </c>
      <c r="C6" s="6">
        <v>180</v>
      </c>
    </row>
    <row r="7" spans="1:5" x14ac:dyDescent="0.3">
      <c r="A7" s="4" t="s">
        <v>5</v>
      </c>
      <c r="B7" s="32">
        <v>79</v>
      </c>
      <c r="C7" s="5">
        <v>25</v>
      </c>
    </row>
    <row r="8" spans="1:5" s="15" customFormat="1" x14ac:dyDescent="0.3">
      <c r="A8" s="14" t="s">
        <v>6</v>
      </c>
      <c r="B8" s="6">
        <v>1</v>
      </c>
      <c r="C8" s="6">
        <v>1</v>
      </c>
    </row>
    <row r="9" spans="1:5" x14ac:dyDescent="0.3">
      <c r="A9" s="4" t="s">
        <v>7</v>
      </c>
      <c r="B9" s="5">
        <v>0</v>
      </c>
      <c r="C9" s="5">
        <v>0</v>
      </c>
    </row>
    <row r="10" spans="1:5" x14ac:dyDescent="0.3">
      <c r="A10" s="4" t="s">
        <v>8</v>
      </c>
      <c r="B10" s="5">
        <v>129</v>
      </c>
      <c r="C10" s="5">
        <v>31</v>
      </c>
    </row>
    <row r="11" spans="1:5" x14ac:dyDescent="0.3">
      <c r="A11" s="4" t="s">
        <v>9</v>
      </c>
      <c r="B11" s="5">
        <v>0</v>
      </c>
      <c r="C11" s="5">
        <v>0</v>
      </c>
    </row>
    <row r="12" spans="1:5" x14ac:dyDescent="0.3">
      <c r="A12" s="4" t="s">
        <v>10</v>
      </c>
      <c r="B12" s="5">
        <v>47</v>
      </c>
      <c r="C12" s="5">
        <v>10</v>
      </c>
    </row>
    <row r="13" spans="1:5" x14ac:dyDescent="0.3">
      <c r="A13" s="4" t="s">
        <v>11</v>
      </c>
      <c r="B13" s="5">
        <v>1</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P24"/>
  <sheetViews>
    <sheetView zoomScale="110" zoomScaleNormal="130" workbookViewId="0">
      <selection activeCell="D13" sqref="D13"/>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223</v>
      </c>
      <c r="B1" s="44"/>
      <c r="C1" s="44"/>
      <c r="D1" s="44"/>
      <c r="E1" s="2"/>
    </row>
    <row r="2" spans="1:5" x14ac:dyDescent="0.3">
      <c r="B2" s="9" t="s">
        <v>1</v>
      </c>
      <c r="C2" s="10" t="s">
        <v>0</v>
      </c>
    </row>
    <row r="3" spans="1:5" ht="15" thickBot="1" x14ac:dyDescent="0.35">
      <c r="B3" s="20">
        <f>SUM(B4,B5,B6,B7,B8,B9,B10,B11,B12,B13,B16,B15,B14)</f>
        <v>614</v>
      </c>
      <c r="C3" s="12">
        <f>SUM(C4,C5,C6,C7,C8,C9,,C10,C11,C12,C13,C16,C15,C14)</f>
        <v>321</v>
      </c>
    </row>
    <row r="4" spans="1:5" s="5" customFormat="1" x14ac:dyDescent="0.3">
      <c r="A4" s="4" t="s">
        <v>2</v>
      </c>
      <c r="B4" s="5">
        <v>73</v>
      </c>
      <c r="C4" s="5">
        <v>19</v>
      </c>
    </row>
    <row r="5" spans="1:5" x14ac:dyDescent="0.3">
      <c r="A5" s="4" t="s">
        <v>3</v>
      </c>
      <c r="B5" s="30">
        <v>126</v>
      </c>
      <c r="C5" s="30">
        <v>35</v>
      </c>
    </row>
    <row r="6" spans="1:5" x14ac:dyDescent="0.3">
      <c r="A6" s="4" t="s">
        <v>4</v>
      </c>
      <c r="B6" s="19">
        <v>142</v>
      </c>
      <c r="C6" s="6">
        <v>204</v>
      </c>
    </row>
    <row r="7" spans="1:5" x14ac:dyDescent="0.3">
      <c r="A7" s="4" t="s">
        <v>5</v>
      </c>
      <c r="B7" s="32">
        <v>88</v>
      </c>
      <c r="C7" s="5">
        <v>25</v>
      </c>
    </row>
    <row r="8" spans="1:5" s="15" customFormat="1" x14ac:dyDescent="0.3">
      <c r="A8" s="14" t="s">
        <v>6</v>
      </c>
      <c r="B8" s="6">
        <v>1</v>
      </c>
      <c r="C8" s="6">
        <v>2</v>
      </c>
    </row>
    <row r="9" spans="1:5" x14ac:dyDescent="0.3">
      <c r="A9" s="4" t="s">
        <v>7</v>
      </c>
      <c r="B9" s="5">
        <v>1</v>
      </c>
      <c r="C9" s="5">
        <v>0</v>
      </c>
    </row>
    <row r="10" spans="1:5" x14ac:dyDescent="0.3">
      <c r="A10" s="4" t="s">
        <v>8</v>
      </c>
      <c r="B10" s="5">
        <v>135</v>
      </c>
      <c r="C10" s="5">
        <v>30</v>
      </c>
    </row>
    <row r="11" spans="1:5" x14ac:dyDescent="0.3">
      <c r="A11" s="4" t="s">
        <v>9</v>
      </c>
      <c r="B11" s="5">
        <v>0</v>
      </c>
      <c r="C11" s="5">
        <v>0</v>
      </c>
    </row>
    <row r="12" spans="1:5" x14ac:dyDescent="0.3">
      <c r="A12" s="4" t="s">
        <v>10</v>
      </c>
      <c r="B12" s="5">
        <v>48</v>
      </c>
      <c r="C12" s="5">
        <v>6</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P24"/>
  <sheetViews>
    <sheetView topLeftCell="A4" zoomScale="110" zoomScaleNormal="130" workbookViewId="0">
      <selection activeCell="D13" sqref="D13"/>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222</v>
      </c>
      <c r="B1" s="44"/>
      <c r="C1" s="44"/>
      <c r="D1" s="44"/>
      <c r="E1" s="2"/>
    </row>
    <row r="2" spans="1:5" x14ac:dyDescent="0.3">
      <c r="B2" s="9" t="s">
        <v>1</v>
      </c>
      <c r="C2" s="10" t="s">
        <v>0</v>
      </c>
    </row>
    <row r="3" spans="1:5" ht="15" thickBot="1" x14ac:dyDescent="0.35">
      <c r="B3" s="20">
        <f>SUM(B4,B5,B6,B7,B8,B9,B10,B11,B12,B13,B16,B15,B14)</f>
        <v>683</v>
      </c>
      <c r="C3" s="12">
        <f>SUM(C4,C5,C6,C7,C8,C9,,C10,C11,C12,C13,C16,C15,C14)</f>
        <v>321</v>
      </c>
    </row>
    <row r="4" spans="1:5" s="5" customFormat="1" x14ac:dyDescent="0.3">
      <c r="A4" s="4" t="s">
        <v>2</v>
      </c>
      <c r="B4" s="5">
        <v>74</v>
      </c>
      <c r="C4" s="5">
        <v>19</v>
      </c>
    </row>
    <row r="5" spans="1:5" x14ac:dyDescent="0.3">
      <c r="A5" s="4" t="s">
        <v>3</v>
      </c>
      <c r="B5" s="30">
        <v>133</v>
      </c>
      <c r="C5" s="30">
        <v>32</v>
      </c>
    </row>
    <row r="6" spans="1:5" x14ac:dyDescent="0.3">
      <c r="A6" s="4" t="s">
        <v>4</v>
      </c>
      <c r="B6" s="19">
        <v>189</v>
      </c>
      <c r="C6" s="6">
        <v>202</v>
      </c>
    </row>
    <row r="7" spans="1:5" x14ac:dyDescent="0.3">
      <c r="A7" s="4" t="s">
        <v>5</v>
      </c>
      <c r="B7" s="32">
        <v>96</v>
      </c>
      <c r="C7" s="5">
        <v>22</v>
      </c>
    </row>
    <row r="8" spans="1:5" s="15" customFormat="1" x14ac:dyDescent="0.3">
      <c r="A8" s="14" t="s">
        <v>6</v>
      </c>
      <c r="B8" s="6">
        <v>1</v>
      </c>
      <c r="C8" s="6">
        <v>1</v>
      </c>
    </row>
    <row r="9" spans="1:5" x14ac:dyDescent="0.3">
      <c r="A9" s="4" t="s">
        <v>7</v>
      </c>
      <c r="B9" s="5">
        <v>2</v>
      </c>
      <c r="C9" s="5">
        <v>0</v>
      </c>
    </row>
    <row r="10" spans="1:5" x14ac:dyDescent="0.3">
      <c r="A10" s="4" t="s">
        <v>8</v>
      </c>
      <c r="B10" s="5">
        <v>137</v>
      </c>
      <c r="C10" s="5">
        <v>34</v>
      </c>
    </row>
    <row r="11" spans="1:5" x14ac:dyDescent="0.3">
      <c r="A11" s="4" t="s">
        <v>9</v>
      </c>
      <c r="B11" s="5">
        <v>0</v>
      </c>
      <c r="C11" s="5">
        <v>0</v>
      </c>
    </row>
    <row r="12" spans="1:5" x14ac:dyDescent="0.3">
      <c r="A12" s="4" t="s">
        <v>10</v>
      </c>
      <c r="B12" s="5">
        <v>51</v>
      </c>
      <c r="C12" s="5">
        <v>11</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P24"/>
  <sheetViews>
    <sheetView zoomScale="110" zoomScaleNormal="130" workbookViewId="0">
      <selection sqref="A1:D1"/>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221</v>
      </c>
      <c r="B1" s="44"/>
      <c r="C1" s="44"/>
      <c r="D1" s="44"/>
      <c r="E1" s="2"/>
    </row>
    <row r="2" spans="1:5" x14ac:dyDescent="0.3">
      <c r="B2" s="9" t="s">
        <v>1</v>
      </c>
      <c r="C2" s="10" t="s">
        <v>0</v>
      </c>
    </row>
    <row r="3" spans="1:5" ht="15" thickBot="1" x14ac:dyDescent="0.35">
      <c r="B3" s="20">
        <f>SUM(B4,B5,B6,B7,B8,B9,B10,B11,B12,B13,B16,B15,B14)</f>
        <v>736</v>
      </c>
      <c r="C3" s="12">
        <f>SUM(C4,C5,C6,C7,C8,C9,,C10,C11,C12,C13,C16,C15,C14)</f>
        <v>345</v>
      </c>
    </row>
    <row r="4" spans="1:5" s="5" customFormat="1" x14ac:dyDescent="0.3">
      <c r="A4" s="4" t="s">
        <v>2</v>
      </c>
      <c r="B4" s="5">
        <v>87</v>
      </c>
      <c r="C4" s="5">
        <v>22</v>
      </c>
    </row>
    <row r="5" spans="1:5" x14ac:dyDescent="0.3">
      <c r="A5" s="4" t="s">
        <v>3</v>
      </c>
      <c r="B5" s="30">
        <v>138</v>
      </c>
      <c r="C5" s="30">
        <v>32</v>
      </c>
    </row>
    <row r="6" spans="1:5" x14ac:dyDescent="0.3">
      <c r="A6" s="4" t="s">
        <v>4</v>
      </c>
      <c r="B6" s="19">
        <v>201</v>
      </c>
      <c r="C6" s="6">
        <v>220</v>
      </c>
    </row>
    <row r="7" spans="1:5" x14ac:dyDescent="0.3">
      <c r="A7" s="4" t="s">
        <v>5</v>
      </c>
      <c r="B7" s="32">
        <v>103</v>
      </c>
      <c r="C7" s="5">
        <v>25</v>
      </c>
    </row>
    <row r="8" spans="1:5" s="15" customFormat="1" x14ac:dyDescent="0.3">
      <c r="A8" s="14" t="s">
        <v>6</v>
      </c>
      <c r="B8" s="6">
        <v>2</v>
      </c>
      <c r="C8" s="6">
        <v>0</v>
      </c>
    </row>
    <row r="9" spans="1:5" x14ac:dyDescent="0.3">
      <c r="A9" s="4" t="s">
        <v>7</v>
      </c>
      <c r="B9" s="5">
        <v>4</v>
      </c>
      <c r="C9" s="5">
        <v>0</v>
      </c>
    </row>
    <row r="10" spans="1:5" x14ac:dyDescent="0.3">
      <c r="A10" s="4" t="s">
        <v>8</v>
      </c>
      <c r="B10" s="5">
        <v>149</v>
      </c>
      <c r="C10" s="5">
        <v>36</v>
      </c>
    </row>
    <row r="11" spans="1:5" x14ac:dyDescent="0.3">
      <c r="A11" s="4" t="s">
        <v>9</v>
      </c>
      <c r="B11" s="5">
        <v>0</v>
      </c>
      <c r="C11" s="5">
        <v>0</v>
      </c>
    </row>
    <row r="12" spans="1:5" x14ac:dyDescent="0.3">
      <c r="A12" s="4" t="s">
        <v>10</v>
      </c>
      <c r="B12" s="5">
        <v>52</v>
      </c>
      <c r="C12" s="5">
        <v>10</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P24"/>
  <sheetViews>
    <sheetView zoomScale="110" zoomScaleNormal="130" workbookViewId="0">
      <selection activeCell="D14" sqref="D1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220</v>
      </c>
      <c r="B1" s="44"/>
      <c r="C1" s="44"/>
      <c r="D1" s="44"/>
      <c r="E1" s="2"/>
    </row>
    <row r="2" spans="1:5" x14ac:dyDescent="0.3">
      <c r="B2" s="9" t="s">
        <v>1</v>
      </c>
      <c r="C2" s="10" t="s">
        <v>0</v>
      </c>
    </row>
    <row r="3" spans="1:5" ht="15" thickBot="1" x14ac:dyDescent="0.35">
      <c r="B3" s="20">
        <f>SUM(B4,B5,B6,B7,B8,B9,B10,B11,B12,B13,B16,B15,B14)</f>
        <v>709</v>
      </c>
      <c r="C3" s="12">
        <f>SUM(C4,C5,C6,C7,C8,C9,,C10,C11,C12,C13,C16,C15,C14)</f>
        <v>368</v>
      </c>
    </row>
    <row r="4" spans="1:5" s="5" customFormat="1" x14ac:dyDescent="0.3">
      <c r="A4" s="4" t="s">
        <v>2</v>
      </c>
      <c r="B4" s="5">
        <v>99</v>
      </c>
      <c r="C4" s="5">
        <v>30</v>
      </c>
    </row>
    <row r="5" spans="1:5" x14ac:dyDescent="0.3">
      <c r="A5" s="4" t="s">
        <v>3</v>
      </c>
      <c r="B5" s="30">
        <v>144</v>
      </c>
      <c r="C5" s="30">
        <v>33</v>
      </c>
    </row>
    <row r="6" spans="1:5" x14ac:dyDescent="0.3">
      <c r="A6" s="4" t="s">
        <v>4</v>
      </c>
      <c r="B6" s="19">
        <v>155</v>
      </c>
      <c r="C6" s="6">
        <v>228</v>
      </c>
    </row>
    <row r="7" spans="1:5" x14ac:dyDescent="0.3">
      <c r="A7" s="4" t="s">
        <v>5</v>
      </c>
      <c r="B7" s="32">
        <v>102</v>
      </c>
      <c r="C7" s="5">
        <v>27</v>
      </c>
    </row>
    <row r="8" spans="1:5" s="15" customFormat="1" x14ac:dyDescent="0.3">
      <c r="A8" s="14" t="s">
        <v>6</v>
      </c>
      <c r="B8" s="6">
        <v>2</v>
      </c>
      <c r="C8" s="6">
        <v>0</v>
      </c>
    </row>
    <row r="9" spans="1:5" x14ac:dyDescent="0.3">
      <c r="A9" s="4" t="s">
        <v>7</v>
      </c>
      <c r="B9" s="5">
        <v>4</v>
      </c>
      <c r="C9" s="5">
        <v>0</v>
      </c>
    </row>
    <row r="10" spans="1:5" x14ac:dyDescent="0.3">
      <c r="A10" s="4" t="s">
        <v>8</v>
      </c>
      <c r="B10" s="5">
        <v>150</v>
      </c>
      <c r="C10" s="5">
        <v>40</v>
      </c>
    </row>
    <row r="11" spans="1:5" x14ac:dyDescent="0.3">
      <c r="A11" s="4" t="s">
        <v>9</v>
      </c>
      <c r="B11" s="5">
        <v>0</v>
      </c>
      <c r="C11" s="5">
        <v>0</v>
      </c>
    </row>
    <row r="12" spans="1:5" x14ac:dyDescent="0.3">
      <c r="A12" s="4" t="s">
        <v>10</v>
      </c>
      <c r="B12" s="5">
        <v>53</v>
      </c>
      <c r="C12" s="5">
        <v>10</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P24"/>
  <sheetViews>
    <sheetView zoomScale="110" zoomScaleNormal="130" workbookViewId="0">
      <selection activeCell="B13" sqref="B13"/>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219</v>
      </c>
      <c r="B1" s="44"/>
      <c r="C1" s="44"/>
      <c r="D1" s="44"/>
      <c r="E1" s="2"/>
    </row>
    <row r="2" spans="1:5" x14ac:dyDescent="0.3">
      <c r="B2" s="9" t="s">
        <v>1</v>
      </c>
      <c r="C2" s="10" t="s">
        <v>0</v>
      </c>
    </row>
    <row r="3" spans="1:5" ht="15" thickBot="1" x14ac:dyDescent="0.35">
      <c r="B3" s="20">
        <f>SUM(B4,B5,B6,B7,B8,B9,B10,B11,B12,B13,B16,B15,B14)</f>
        <v>886</v>
      </c>
      <c r="C3" s="12">
        <f>SUM(C4,C5,C6,C7,C8,C9,,C10,C11,C12,C13,C16,C15,C14)</f>
        <v>437</v>
      </c>
    </row>
    <row r="4" spans="1:5" s="5" customFormat="1" x14ac:dyDescent="0.3">
      <c r="A4" s="4" t="s">
        <v>2</v>
      </c>
      <c r="B4" s="5">
        <v>110</v>
      </c>
      <c r="C4" s="5">
        <v>34</v>
      </c>
    </row>
    <row r="5" spans="1:5" x14ac:dyDescent="0.3">
      <c r="A5" s="4" t="s">
        <v>3</v>
      </c>
      <c r="B5" s="30">
        <v>170</v>
      </c>
      <c r="C5" s="30">
        <v>36</v>
      </c>
    </row>
    <row r="6" spans="1:5" x14ac:dyDescent="0.3">
      <c r="A6" s="4" t="s">
        <v>4</v>
      </c>
      <c r="B6" s="19">
        <v>251</v>
      </c>
      <c r="C6" s="6">
        <v>271</v>
      </c>
    </row>
    <row r="7" spans="1:5" x14ac:dyDescent="0.3">
      <c r="A7" s="4" t="s">
        <v>5</v>
      </c>
      <c r="B7" s="32">
        <v>117</v>
      </c>
      <c r="C7" s="5">
        <v>35</v>
      </c>
    </row>
    <row r="8" spans="1:5" s="15" customFormat="1" x14ac:dyDescent="0.3">
      <c r="A8" s="14" t="s">
        <v>6</v>
      </c>
      <c r="B8" s="6">
        <v>2</v>
      </c>
      <c r="C8" s="6">
        <v>0</v>
      </c>
    </row>
    <row r="9" spans="1:5" x14ac:dyDescent="0.3">
      <c r="A9" s="4" t="s">
        <v>7</v>
      </c>
      <c r="B9" s="5">
        <v>4</v>
      </c>
      <c r="C9" s="5">
        <v>0</v>
      </c>
    </row>
    <row r="10" spans="1:5" x14ac:dyDescent="0.3">
      <c r="A10" s="4" t="s">
        <v>8</v>
      </c>
      <c r="B10" s="5">
        <v>171</v>
      </c>
      <c r="C10" s="5">
        <v>49</v>
      </c>
    </row>
    <row r="11" spans="1:5" x14ac:dyDescent="0.3">
      <c r="A11" s="4" t="s">
        <v>9</v>
      </c>
      <c r="B11" s="5">
        <v>0</v>
      </c>
      <c r="C11" s="5">
        <v>0</v>
      </c>
    </row>
    <row r="12" spans="1:5" x14ac:dyDescent="0.3">
      <c r="A12" s="4" t="s">
        <v>10</v>
      </c>
      <c r="B12" s="5">
        <v>60</v>
      </c>
      <c r="C12" s="5">
        <v>12</v>
      </c>
    </row>
    <row r="13" spans="1:5" x14ac:dyDescent="0.3">
      <c r="A13" s="4" t="s">
        <v>11</v>
      </c>
      <c r="B13" s="5">
        <v>1</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9D5AF-53F7-49AC-B702-5ED9C50772B0}">
  <dimension ref="A1:P26"/>
  <sheetViews>
    <sheetView zoomScaleNormal="100" workbookViewId="0">
      <selection activeCell="A26" sqref="A26"/>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486</v>
      </c>
      <c r="B1" s="44"/>
      <c r="C1" s="44"/>
      <c r="D1" s="44"/>
      <c r="E1" s="2"/>
    </row>
    <row r="2" spans="1:5" x14ac:dyDescent="0.3">
      <c r="B2" s="9" t="s">
        <v>1</v>
      </c>
      <c r="C2" s="10" t="s">
        <v>0</v>
      </c>
    </row>
    <row r="3" spans="1:5" ht="15" thickBot="1" x14ac:dyDescent="0.35">
      <c r="B3" s="20">
        <f>SUM(B4,B5,B6,B7,B8,B9,B10,B11,B12,B13,B16,B15,B14)</f>
        <v>3672</v>
      </c>
      <c r="C3" s="12">
        <f>SUM(C4,C5,C6,C7,C8,C9,,C10,C11,C12,C13,C16,C15,C14)</f>
        <v>252</v>
      </c>
    </row>
    <row r="4" spans="1:5" s="5" customFormat="1" x14ac:dyDescent="0.3">
      <c r="A4" s="4" t="s">
        <v>2</v>
      </c>
      <c r="B4" s="18">
        <v>473</v>
      </c>
      <c r="C4" s="5">
        <v>42</v>
      </c>
    </row>
    <row r="5" spans="1:5" x14ac:dyDescent="0.3">
      <c r="A5" s="4" t="s">
        <v>3</v>
      </c>
      <c r="B5" s="30">
        <v>931</v>
      </c>
      <c r="C5" s="30">
        <v>29</v>
      </c>
      <c r="D5" s="5"/>
    </row>
    <row r="6" spans="1:5" x14ac:dyDescent="0.3">
      <c r="A6" s="4" t="s">
        <v>4</v>
      </c>
      <c r="B6" s="19">
        <v>670</v>
      </c>
      <c r="C6" s="6">
        <v>119</v>
      </c>
      <c r="D6" s="5"/>
    </row>
    <row r="7" spans="1:5" x14ac:dyDescent="0.3">
      <c r="A7" s="4" t="s">
        <v>5</v>
      </c>
      <c r="B7" s="32">
        <v>1139</v>
      </c>
      <c r="C7" s="5">
        <v>31</v>
      </c>
      <c r="D7" s="5"/>
    </row>
    <row r="8" spans="1:5" s="15" customFormat="1" x14ac:dyDescent="0.3">
      <c r="A8" s="14" t="s">
        <v>6</v>
      </c>
      <c r="B8" s="6">
        <v>41</v>
      </c>
      <c r="C8" s="6">
        <v>8</v>
      </c>
      <c r="D8" s="5"/>
    </row>
    <row r="9" spans="1:5" x14ac:dyDescent="0.3">
      <c r="A9" s="4" t="s">
        <v>7</v>
      </c>
      <c r="B9" s="5">
        <v>25</v>
      </c>
      <c r="C9" s="5">
        <v>2</v>
      </c>
      <c r="D9" s="5"/>
    </row>
    <row r="10" spans="1:5" x14ac:dyDescent="0.3">
      <c r="A10" s="4" t="s">
        <v>8</v>
      </c>
      <c r="B10" s="5">
        <v>120</v>
      </c>
      <c r="C10" s="5">
        <v>9</v>
      </c>
      <c r="D10" s="5"/>
    </row>
    <row r="11" spans="1:5" x14ac:dyDescent="0.3">
      <c r="A11" s="4" t="s">
        <v>9</v>
      </c>
      <c r="B11" s="5">
        <v>7</v>
      </c>
      <c r="C11" s="5">
        <v>0</v>
      </c>
      <c r="D11" s="5"/>
    </row>
    <row r="12" spans="1:5" x14ac:dyDescent="0.3">
      <c r="A12" s="4" t="s">
        <v>10</v>
      </c>
      <c r="B12" s="5">
        <v>258</v>
      </c>
      <c r="C12" s="5">
        <v>10</v>
      </c>
      <c r="D12" s="5"/>
    </row>
    <row r="13" spans="1:5" x14ac:dyDescent="0.3">
      <c r="A13" s="4" t="s">
        <v>11</v>
      </c>
      <c r="B13" s="5">
        <v>5</v>
      </c>
      <c r="C13" s="5">
        <v>2</v>
      </c>
      <c r="D13" s="5"/>
    </row>
    <row r="14" spans="1:5" x14ac:dyDescent="0.3">
      <c r="A14" s="4" t="s">
        <v>12</v>
      </c>
      <c r="B14" s="8">
        <v>0</v>
      </c>
      <c r="C14" s="7">
        <v>0</v>
      </c>
      <c r="D14" s="5"/>
    </row>
    <row r="15" spans="1:5" x14ac:dyDescent="0.3">
      <c r="A15" s="4" t="s">
        <v>13</v>
      </c>
      <c r="B15" s="5">
        <v>3</v>
      </c>
      <c r="C15" s="5">
        <v>0</v>
      </c>
      <c r="D15" s="5" t="s">
        <v>231</v>
      </c>
    </row>
    <row r="16" spans="1:5" x14ac:dyDescent="0.3">
      <c r="A16" s="4" t="s">
        <v>14</v>
      </c>
      <c r="B16" s="5">
        <v>0</v>
      </c>
      <c r="C16" s="5">
        <v>0</v>
      </c>
      <c r="D16" s="5"/>
    </row>
    <row r="17" spans="1:9" x14ac:dyDescent="0.3">
      <c r="B17" s="3"/>
    </row>
    <row r="20" spans="1:9" x14ac:dyDescent="0.3">
      <c r="A20" s="1" t="s">
        <v>122</v>
      </c>
    </row>
    <row r="21" spans="1:9" s="3" customFormat="1" x14ac:dyDescent="0.3">
      <c r="A21" s="33" t="s">
        <v>480</v>
      </c>
      <c r="B21" s="8"/>
    </row>
    <row r="22" spans="1:9" s="3" customFormat="1" x14ac:dyDescent="0.3">
      <c r="A22" s="34" t="s">
        <v>485</v>
      </c>
      <c r="B22" s="8"/>
    </row>
    <row r="23" spans="1:9" s="3" customFormat="1" x14ac:dyDescent="0.3">
      <c r="A23" s="35" t="s">
        <v>471</v>
      </c>
      <c r="B23" s="8"/>
    </row>
    <row r="24" spans="1:9" s="3" customFormat="1" x14ac:dyDescent="0.3">
      <c r="A24" s="33" t="s">
        <v>483</v>
      </c>
      <c r="B24" s="8"/>
    </row>
    <row r="25" spans="1:9" s="3" customFormat="1" x14ac:dyDescent="0.3">
      <c r="A25" s="36" t="s">
        <v>484</v>
      </c>
      <c r="B25" s="8"/>
    </row>
    <row r="26" spans="1:9" s="3" customFormat="1" x14ac:dyDescent="0.3">
      <c r="A26" s="33" t="s">
        <v>479</v>
      </c>
      <c r="B26" s="8"/>
      <c r="I26" s="3" t="s">
        <v>414</v>
      </c>
    </row>
  </sheetData>
  <mergeCells count="1">
    <mergeCell ref="A1:D1"/>
  </mergeCells>
  <hyperlinks>
    <hyperlink ref="A21" r:id="rId1" display="** NT's official website does not disclose the number of current hospitalizations, but according to the press, between April 1st and April 19th, the NWT reported eight new hospitalizations and one intensive care admission. " xr:uid="{9412781F-426C-4E7F-BF09-C81F09A46888}"/>
    <hyperlink ref="A22" r:id="rId2" display="**** YT's official website is now informing the number of hospitalizations, which is 2 as of March 7th." xr:uid="{B848DC50-EE89-4477-BAA6-63855380AF03}"/>
    <hyperlink ref="A23" r:id="rId3" xr:uid="{7CD58E84-8425-48A5-A3C1-832482FF6942}"/>
    <hyperlink ref="A24" r:id="rId4" display="*****NB's latest official report only informs the number of patients admitted for Covid-19, not including the number of patients that were admitted for other reasons and tested positive for Covid-19 later on." xr:uid="{2AE6985D-AC08-467D-834B-98C093492840}"/>
    <hyperlink ref="A26" r:id="rId5" xr:uid="{2B063F6B-5B6F-4082-A322-2902C0002402}"/>
    <hyperlink ref="A25" r:id="rId6" display="******MB's official website is no longer doing daily reporting. The information was extracted from the latest offical report from May 10th. Note that these are the numbers of new hospitalizations and ICU admissions for the May 1st-7th week. The numbers of" xr:uid="{4FBB6972-9E75-4F9A-AD7A-886340B45FC0}"/>
  </hyperlinks>
  <pageMargins left="0.7" right="0.7" top="0.75" bottom="0.75" header="0.3" footer="0.3"/>
  <pageSetup orientation="portrait" r:id="rId7"/>
  <drawing r:id="rId8"/>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P24"/>
  <sheetViews>
    <sheetView zoomScale="110" zoomScaleNormal="130" workbookViewId="0">
      <selection activeCell="B25" sqref="B25"/>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218</v>
      </c>
      <c r="B1" s="44"/>
      <c r="C1" s="44"/>
      <c r="D1" s="44"/>
      <c r="E1" s="2"/>
    </row>
    <row r="2" spans="1:5" x14ac:dyDescent="0.3">
      <c r="B2" s="9" t="s">
        <v>1</v>
      </c>
      <c r="C2" s="10" t="s">
        <v>0</v>
      </c>
    </row>
    <row r="3" spans="1:5" ht="15" thickBot="1" x14ac:dyDescent="0.35">
      <c r="B3" s="20">
        <f>SUM(B4,B5,B6,B7,B8,B9,B10,B11,B12,B13,B16,B15,B14)</f>
        <v>897</v>
      </c>
      <c r="C3" s="12">
        <f>SUM(C4,C5,C6,C7,C8,C9,,C10,C11,C12,C13,C16,C15,C14)</f>
        <v>466</v>
      </c>
    </row>
    <row r="4" spans="1:5" s="5" customFormat="1" x14ac:dyDescent="0.3">
      <c r="A4" s="4" t="s">
        <v>2</v>
      </c>
      <c r="B4" s="5">
        <v>108</v>
      </c>
      <c r="C4" s="5">
        <v>37</v>
      </c>
    </row>
    <row r="5" spans="1:5" x14ac:dyDescent="0.3">
      <c r="A5" s="4" t="s">
        <v>3</v>
      </c>
      <c r="B5" s="30">
        <v>190</v>
      </c>
      <c r="C5" s="30">
        <v>50</v>
      </c>
    </row>
    <row r="6" spans="1:5" x14ac:dyDescent="0.3">
      <c r="A6" s="4" t="s">
        <v>4</v>
      </c>
      <c r="B6" s="19">
        <v>218</v>
      </c>
      <c r="C6" s="6">
        <v>287</v>
      </c>
    </row>
    <row r="7" spans="1:5" x14ac:dyDescent="0.3">
      <c r="A7" s="4" t="s">
        <v>5</v>
      </c>
      <c r="B7" s="32">
        <v>124</v>
      </c>
      <c r="C7" s="5">
        <v>31</v>
      </c>
    </row>
    <row r="8" spans="1:5" s="15" customFormat="1" x14ac:dyDescent="0.3">
      <c r="A8" s="14" t="s">
        <v>6</v>
      </c>
      <c r="B8" s="6">
        <v>2</v>
      </c>
      <c r="C8" s="6">
        <v>0</v>
      </c>
    </row>
    <row r="9" spans="1:5" x14ac:dyDescent="0.3">
      <c r="A9" s="4" t="s">
        <v>7</v>
      </c>
      <c r="B9" s="5">
        <v>4</v>
      </c>
      <c r="C9" s="5">
        <v>1</v>
      </c>
    </row>
    <row r="10" spans="1:5" x14ac:dyDescent="0.3">
      <c r="A10" s="4" t="s">
        <v>8</v>
      </c>
      <c r="B10" s="5">
        <v>183</v>
      </c>
      <c r="C10" s="5">
        <v>50</v>
      </c>
    </row>
    <row r="11" spans="1:5" x14ac:dyDescent="0.3">
      <c r="A11" s="4" t="s">
        <v>9</v>
      </c>
      <c r="B11" s="5">
        <v>0</v>
      </c>
      <c r="C11" s="5">
        <v>0</v>
      </c>
    </row>
    <row r="12" spans="1:5" x14ac:dyDescent="0.3">
      <c r="A12" s="4" t="s">
        <v>10</v>
      </c>
      <c r="B12" s="5">
        <v>67</v>
      </c>
      <c r="C12" s="5">
        <v>10</v>
      </c>
    </row>
    <row r="13" spans="1:5" x14ac:dyDescent="0.3">
      <c r="A13" s="4" t="s">
        <v>11</v>
      </c>
      <c r="B13" s="5">
        <v>1</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P24"/>
  <sheetViews>
    <sheetView zoomScale="110" zoomScaleNormal="130" workbookViewId="0">
      <selection activeCell="A25" sqref="A25"/>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217</v>
      </c>
      <c r="B1" s="44"/>
      <c r="C1" s="44"/>
      <c r="D1" s="44"/>
      <c r="E1" s="2"/>
    </row>
    <row r="2" spans="1:5" x14ac:dyDescent="0.3">
      <c r="B2" s="9" t="s">
        <v>1</v>
      </c>
      <c r="C2" s="10" t="s">
        <v>0</v>
      </c>
    </row>
    <row r="3" spans="1:5" ht="15" thickBot="1" x14ac:dyDescent="0.35">
      <c r="B3" s="20">
        <f>SUM(B4,B5,B6,B7,B8,B9,B10,B11,B12,B13,B16,B15,B14)</f>
        <v>992</v>
      </c>
      <c r="C3" s="12">
        <f>SUM(C4,C5,C6,C7,C8,C9,,C10,C11,C12,C13,C16,C15,C14)</f>
        <v>475</v>
      </c>
    </row>
    <row r="4" spans="1:5" s="5" customFormat="1" x14ac:dyDescent="0.3">
      <c r="A4" s="4" t="s">
        <v>2</v>
      </c>
      <c r="B4" s="5">
        <v>113</v>
      </c>
      <c r="C4" s="5">
        <v>34</v>
      </c>
    </row>
    <row r="5" spans="1:5" x14ac:dyDescent="0.3">
      <c r="A5" s="4" t="s">
        <v>3</v>
      </c>
      <c r="B5" s="30">
        <v>190</v>
      </c>
      <c r="C5" s="30">
        <v>50</v>
      </c>
    </row>
    <row r="6" spans="1:5" x14ac:dyDescent="0.3">
      <c r="A6" s="4" t="s">
        <v>4</v>
      </c>
      <c r="B6" s="19">
        <v>275</v>
      </c>
      <c r="C6" s="6">
        <v>284</v>
      </c>
    </row>
    <row r="7" spans="1:5" x14ac:dyDescent="0.3">
      <c r="A7" s="4" t="s">
        <v>5</v>
      </c>
      <c r="B7" s="32">
        <v>143</v>
      </c>
      <c r="C7" s="5">
        <v>38</v>
      </c>
    </row>
    <row r="8" spans="1:5" s="15" customFormat="1" x14ac:dyDescent="0.3">
      <c r="A8" s="14" t="s">
        <v>6</v>
      </c>
      <c r="B8" s="6">
        <v>2</v>
      </c>
      <c r="C8" s="6">
        <v>1</v>
      </c>
    </row>
    <row r="9" spans="1:5" x14ac:dyDescent="0.3">
      <c r="A9" s="4" t="s">
        <v>7</v>
      </c>
      <c r="B9" s="5">
        <v>6</v>
      </c>
      <c r="C9" s="5">
        <v>2</v>
      </c>
    </row>
    <row r="10" spans="1:5" x14ac:dyDescent="0.3">
      <c r="A10" s="4" t="s">
        <v>8</v>
      </c>
      <c r="B10" s="5">
        <v>200</v>
      </c>
      <c r="C10" s="5">
        <v>52</v>
      </c>
    </row>
    <row r="11" spans="1:5" x14ac:dyDescent="0.3">
      <c r="A11" s="4" t="s">
        <v>9</v>
      </c>
      <c r="B11" s="5">
        <v>0</v>
      </c>
      <c r="C11" s="5">
        <v>0</v>
      </c>
    </row>
    <row r="12" spans="1:5" x14ac:dyDescent="0.3">
      <c r="A12" s="4" t="s">
        <v>10</v>
      </c>
      <c r="B12" s="5">
        <v>62</v>
      </c>
      <c r="C12" s="5">
        <v>14</v>
      </c>
    </row>
    <row r="13" spans="1:5" x14ac:dyDescent="0.3">
      <c r="A13" s="4" t="s">
        <v>11</v>
      </c>
      <c r="B13" s="5">
        <v>1</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P24"/>
  <sheetViews>
    <sheetView zoomScale="110" zoomScaleNormal="130" workbookViewId="0">
      <selection activeCell="B15" sqref="B15"/>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216</v>
      </c>
      <c r="B1" s="44"/>
      <c r="C1" s="44"/>
      <c r="D1" s="44"/>
      <c r="E1" s="2"/>
    </row>
    <row r="2" spans="1:5" x14ac:dyDescent="0.3">
      <c r="B2" s="9" t="s">
        <v>1</v>
      </c>
      <c r="C2" s="10" t="s">
        <v>0</v>
      </c>
    </row>
    <row r="3" spans="1:5" ht="15" thickBot="1" x14ac:dyDescent="0.35">
      <c r="B3" s="20">
        <f>SUM(B4,B5,B6,B7,B8,B9,B10,B11,B12,B13,B16,B15,B14)</f>
        <v>1046</v>
      </c>
      <c r="C3" s="12">
        <f>SUM(C4,C5,C6,C7,C8,C9,,C10,C11,C12,C13,C16,C15,C14)</f>
        <v>512</v>
      </c>
    </row>
    <row r="4" spans="1:5" s="5" customFormat="1" x14ac:dyDescent="0.3">
      <c r="A4" s="4" t="s">
        <v>2</v>
      </c>
      <c r="B4" s="5">
        <v>111</v>
      </c>
      <c r="C4" s="5">
        <v>41</v>
      </c>
    </row>
    <row r="5" spans="1:5" x14ac:dyDescent="0.3">
      <c r="A5" s="4" t="s">
        <v>3</v>
      </c>
      <c r="B5" s="30">
        <v>200</v>
      </c>
      <c r="C5" s="30">
        <v>54</v>
      </c>
    </row>
    <row r="6" spans="1:5" x14ac:dyDescent="0.3">
      <c r="A6" s="4" t="s">
        <v>4</v>
      </c>
      <c r="B6" s="19">
        <v>295</v>
      </c>
      <c r="C6" s="6">
        <v>305</v>
      </c>
    </row>
    <row r="7" spans="1:5" x14ac:dyDescent="0.3">
      <c r="A7" s="4" t="s">
        <v>5</v>
      </c>
      <c r="B7" s="32">
        <v>161</v>
      </c>
      <c r="C7" s="5">
        <v>40</v>
      </c>
    </row>
    <row r="8" spans="1:5" s="15" customFormat="1" x14ac:dyDescent="0.3">
      <c r="A8" s="14" t="s">
        <v>6</v>
      </c>
      <c r="B8" s="6">
        <v>2</v>
      </c>
      <c r="C8" s="6">
        <v>1</v>
      </c>
    </row>
    <row r="9" spans="1:5" x14ac:dyDescent="0.3">
      <c r="A9" s="4" t="s">
        <v>7</v>
      </c>
      <c r="B9" s="5">
        <v>5</v>
      </c>
      <c r="C9" s="5">
        <v>2</v>
      </c>
    </row>
    <row r="10" spans="1:5" x14ac:dyDescent="0.3">
      <c r="A10" s="4" t="s">
        <v>8</v>
      </c>
      <c r="B10" s="5">
        <v>209</v>
      </c>
      <c r="C10" s="5">
        <v>57</v>
      </c>
    </row>
    <row r="11" spans="1:5" x14ac:dyDescent="0.3">
      <c r="A11" s="4" t="s">
        <v>9</v>
      </c>
      <c r="B11" s="5">
        <v>0</v>
      </c>
      <c r="C11" s="5">
        <v>0</v>
      </c>
    </row>
    <row r="12" spans="1:5" x14ac:dyDescent="0.3">
      <c r="A12" s="4" t="s">
        <v>10</v>
      </c>
      <c r="B12" s="5">
        <v>63</v>
      </c>
      <c r="C12" s="5">
        <v>12</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P24"/>
  <sheetViews>
    <sheetView zoomScale="110" zoomScaleNormal="130" workbookViewId="0">
      <selection activeCell="A25" sqref="A25"/>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215</v>
      </c>
      <c r="B1" s="44"/>
      <c r="C1" s="44"/>
      <c r="D1" s="44"/>
      <c r="E1" s="2"/>
    </row>
    <row r="2" spans="1:5" x14ac:dyDescent="0.3">
      <c r="B2" s="9" t="s">
        <v>1</v>
      </c>
      <c r="C2" s="10" t="s">
        <v>0</v>
      </c>
    </row>
    <row r="3" spans="1:5" ht="15" thickBot="1" x14ac:dyDescent="0.35">
      <c r="B3" s="20">
        <f>SUM(B4,B5,B6,B7,B8,B9,B10,B11,B12,B13,B16,B15,B14)</f>
        <v>1096</v>
      </c>
      <c r="C3" s="12">
        <f>SUM(C4,C5,C6,C7,C8,C9,,C10,C11,C12,C13,C16,C15,C14)</f>
        <v>535</v>
      </c>
    </row>
    <row r="4" spans="1:5" s="5" customFormat="1" x14ac:dyDescent="0.3">
      <c r="A4" s="4" t="s">
        <v>2</v>
      </c>
      <c r="B4" s="5">
        <v>128</v>
      </c>
      <c r="C4" s="5">
        <v>48</v>
      </c>
    </row>
    <row r="5" spans="1:5" x14ac:dyDescent="0.3">
      <c r="A5" s="4" t="s">
        <v>3</v>
      </c>
      <c r="B5" s="30">
        <v>214</v>
      </c>
      <c r="C5" s="30">
        <v>53</v>
      </c>
    </row>
    <row r="6" spans="1:5" x14ac:dyDescent="0.3">
      <c r="A6" s="4" t="s">
        <v>4</v>
      </c>
      <c r="B6" s="19">
        <v>261</v>
      </c>
      <c r="C6" s="6">
        <v>323</v>
      </c>
    </row>
    <row r="7" spans="1:5" x14ac:dyDescent="0.3">
      <c r="A7" s="4" t="s">
        <v>5</v>
      </c>
      <c r="B7" s="32">
        <v>168</v>
      </c>
      <c r="C7" s="5">
        <v>39</v>
      </c>
    </row>
    <row r="8" spans="1:5" s="15" customFormat="1" x14ac:dyDescent="0.3">
      <c r="A8" s="14" t="s">
        <v>6</v>
      </c>
      <c r="B8" s="6">
        <v>2</v>
      </c>
      <c r="C8" s="6">
        <v>1</v>
      </c>
    </row>
    <row r="9" spans="1:5" x14ac:dyDescent="0.3">
      <c r="A9" s="4" t="s">
        <v>7</v>
      </c>
      <c r="B9" s="5">
        <v>6</v>
      </c>
      <c r="C9" s="5">
        <v>2</v>
      </c>
    </row>
    <row r="10" spans="1:5" x14ac:dyDescent="0.3">
      <c r="A10" s="4" t="s">
        <v>8</v>
      </c>
      <c r="B10" s="5">
        <v>233</v>
      </c>
      <c r="C10" s="5">
        <v>57</v>
      </c>
    </row>
    <row r="11" spans="1:5" x14ac:dyDescent="0.3">
      <c r="A11" s="4" t="s">
        <v>9</v>
      </c>
      <c r="B11" s="5">
        <v>0</v>
      </c>
      <c r="C11" s="5">
        <v>0</v>
      </c>
    </row>
    <row r="12" spans="1:5" x14ac:dyDescent="0.3">
      <c r="A12" s="4" t="s">
        <v>10</v>
      </c>
      <c r="B12" s="5">
        <v>79</v>
      </c>
      <c r="C12" s="5">
        <v>12</v>
      </c>
    </row>
    <row r="13" spans="1:5" x14ac:dyDescent="0.3">
      <c r="A13" s="4" t="s">
        <v>11</v>
      </c>
      <c r="B13" s="5">
        <v>2</v>
      </c>
      <c r="C13" s="5">
        <v>0</v>
      </c>
    </row>
    <row r="14" spans="1:5" x14ac:dyDescent="0.3">
      <c r="A14" s="4" t="s">
        <v>12</v>
      </c>
      <c r="B14" s="8">
        <v>0</v>
      </c>
      <c r="C14" s="7">
        <v>0</v>
      </c>
    </row>
    <row r="15" spans="1:5" x14ac:dyDescent="0.3">
      <c r="A15" s="4" t="s">
        <v>13</v>
      </c>
      <c r="B15" s="5">
        <v>3</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P24"/>
  <sheetViews>
    <sheetView zoomScale="110" zoomScaleNormal="130" workbookViewId="0">
      <selection activeCell="G23" sqref="G23"/>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214</v>
      </c>
      <c r="B1" s="44"/>
      <c r="C1" s="44"/>
      <c r="D1" s="44"/>
      <c r="E1" s="2"/>
    </row>
    <row r="2" spans="1:5" x14ac:dyDescent="0.3">
      <c r="B2" s="9" t="s">
        <v>1</v>
      </c>
      <c r="C2" s="10" t="s">
        <v>0</v>
      </c>
    </row>
    <row r="3" spans="1:5" ht="15" thickBot="1" x14ac:dyDescent="0.35">
      <c r="B3" s="20">
        <f>SUM(B4,B5,B6,B7,B8,B9,B10,B11,B12,B13,B16,B15,B14)</f>
        <v>1261</v>
      </c>
      <c r="C3" s="12">
        <f>SUM(C4,C5,C6,C7,C8,C9,,C10,C11,C12,C13,C16,C15,C14)</f>
        <v>567</v>
      </c>
    </row>
    <row r="4" spans="1:5" s="5" customFormat="1" x14ac:dyDescent="0.3">
      <c r="A4" s="4" t="s">
        <v>2</v>
      </c>
      <c r="B4" s="5">
        <v>131</v>
      </c>
      <c r="C4" s="5">
        <v>44</v>
      </c>
    </row>
    <row r="5" spans="1:5" x14ac:dyDescent="0.3">
      <c r="A5" s="4" t="s">
        <v>3</v>
      </c>
      <c r="B5" s="30">
        <v>242</v>
      </c>
      <c r="C5" s="30">
        <v>58</v>
      </c>
    </row>
    <row r="6" spans="1:5" x14ac:dyDescent="0.3">
      <c r="A6" s="4" t="s">
        <v>4</v>
      </c>
      <c r="B6" s="19">
        <v>378</v>
      </c>
      <c r="C6" s="6">
        <v>352</v>
      </c>
    </row>
    <row r="7" spans="1:5" x14ac:dyDescent="0.3">
      <c r="A7" s="4" t="s">
        <v>5</v>
      </c>
      <c r="B7" s="32">
        <v>175</v>
      </c>
      <c r="C7" s="5">
        <v>39</v>
      </c>
    </row>
    <row r="8" spans="1:5" s="15" customFormat="1" x14ac:dyDescent="0.3">
      <c r="A8" s="14" t="s">
        <v>6</v>
      </c>
      <c r="B8" s="6">
        <v>3</v>
      </c>
      <c r="C8" s="6">
        <v>3</v>
      </c>
    </row>
    <row r="9" spans="1:5" x14ac:dyDescent="0.3">
      <c r="A9" s="4" t="s">
        <v>7</v>
      </c>
      <c r="B9" s="5">
        <v>6</v>
      </c>
      <c r="C9" s="5">
        <v>2</v>
      </c>
    </row>
    <row r="10" spans="1:5" x14ac:dyDescent="0.3">
      <c r="A10" s="4" t="s">
        <v>8</v>
      </c>
      <c r="B10" s="5">
        <v>246</v>
      </c>
      <c r="C10" s="5">
        <v>60</v>
      </c>
    </row>
    <row r="11" spans="1:5" x14ac:dyDescent="0.3">
      <c r="A11" s="4" t="s">
        <v>9</v>
      </c>
      <c r="B11" s="5">
        <v>0</v>
      </c>
      <c r="C11" s="5">
        <v>0</v>
      </c>
    </row>
    <row r="12" spans="1:5" x14ac:dyDescent="0.3">
      <c r="A12" s="4" t="s">
        <v>10</v>
      </c>
      <c r="B12" s="5">
        <v>78</v>
      </c>
      <c r="C12" s="5">
        <v>9</v>
      </c>
    </row>
    <row r="13" spans="1:5" x14ac:dyDescent="0.3">
      <c r="A13" s="4" t="s">
        <v>11</v>
      </c>
      <c r="B13" s="5">
        <v>2</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P24"/>
  <sheetViews>
    <sheetView zoomScale="110" zoomScaleNormal="130" workbookViewId="0">
      <selection activeCell="G25" sqref="G25"/>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213</v>
      </c>
      <c r="B1" s="44"/>
      <c r="C1" s="44"/>
      <c r="D1" s="44"/>
      <c r="E1" s="2"/>
    </row>
    <row r="2" spans="1:5" x14ac:dyDescent="0.3">
      <c r="B2" s="9" t="s">
        <v>1</v>
      </c>
      <c r="C2" s="10" t="s">
        <v>0</v>
      </c>
    </row>
    <row r="3" spans="1:5" ht="15" thickBot="1" x14ac:dyDescent="0.35">
      <c r="B3" s="20">
        <f>SUM(B4,B5,B6,B7,B8,B9,B10,B11,B12,B13,B16,B15,B14)</f>
        <v>1416</v>
      </c>
      <c r="C3" s="12">
        <f>SUM(C4,C5,C6,C7,C8,C9,,C10,C11,C12,C13,C16,C15,C14)</f>
        <v>619</v>
      </c>
    </row>
    <row r="4" spans="1:5" s="5" customFormat="1" x14ac:dyDescent="0.3">
      <c r="A4" s="4" t="s">
        <v>2</v>
      </c>
      <c r="B4" s="5">
        <v>139</v>
      </c>
      <c r="C4" s="5">
        <v>39</v>
      </c>
    </row>
    <row r="5" spans="1:5" x14ac:dyDescent="0.3">
      <c r="A5" s="4" t="s">
        <v>3</v>
      </c>
      <c r="B5" s="30">
        <v>271</v>
      </c>
      <c r="C5" s="30">
        <v>68</v>
      </c>
    </row>
    <row r="6" spans="1:5" x14ac:dyDescent="0.3">
      <c r="A6" s="4" t="s">
        <v>4</v>
      </c>
      <c r="B6" s="19">
        <v>438</v>
      </c>
      <c r="C6" s="6">
        <v>377</v>
      </c>
    </row>
    <row r="7" spans="1:5" x14ac:dyDescent="0.3">
      <c r="A7" s="4" t="s">
        <v>5</v>
      </c>
      <c r="B7" s="32">
        <v>209</v>
      </c>
      <c r="C7" s="5">
        <v>50</v>
      </c>
    </row>
    <row r="8" spans="1:5" s="15" customFormat="1" x14ac:dyDescent="0.3">
      <c r="A8" s="14" t="s">
        <v>6</v>
      </c>
      <c r="B8" s="6">
        <v>2</v>
      </c>
      <c r="C8" s="6">
        <v>4</v>
      </c>
    </row>
    <row r="9" spans="1:5" x14ac:dyDescent="0.3">
      <c r="A9" s="4" t="s">
        <v>7</v>
      </c>
      <c r="B9" s="5">
        <v>8</v>
      </c>
      <c r="C9" s="5">
        <v>3</v>
      </c>
    </row>
    <row r="10" spans="1:5" x14ac:dyDescent="0.3">
      <c r="A10" s="4" t="s">
        <v>8</v>
      </c>
      <c r="B10" s="5">
        <v>266</v>
      </c>
      <c r="C10" s="5">
        <v>63</v>
      </c>
    </row>
    <row r="11" spans="1:5" x14ac:dyDescent="0.3">
      <c r="A11" s="4" t="s">
        <v>9</v>
      </c>
      <c r="B11" s="5">
        <v>0</v>
      </c>
      <c r="C11" s="5">
        <v>0</v>
      </c>
    </row>
    <row r="12" spans="1:5" x14ac:dyDescent="0.3">
      <c r="A12" s="4" t="s">
        <v>10</v>
      </c>
      <c r="B12" s="5">
        <v>82</v>
      </c>
      <c r="C12" s="5">
        <v>15</v>
      </c>
    </row>
    <row r="13" spans="1:5" x14ac:dyDescent="0.3">
      <c r="A13" s="4" t="s">
        <v>11</v>
      </c>
      <c r="B13" s="5">
        <v>1</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P24"/>
  <sheetViews>
    <sheetView zoomScale="110" zoomScaleNormal="130" workbookViewId="0">
      <selection activeCell="H19" sqref="H19"/>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212</v>
      </c>
      <c r="B1" s="44"/>
      <c r="C1" s="44"/>
      <c r="D1" s="44"/>
      <c r="E1" s="2"/>
    </row>
    <row r="2" spans="1:5" x14ac:dyDescent="0.3">
      <c r="B2" s="9" t="s">
        <v>1</v>
      </c>
      <c r="C2" s="10" t="s">
        <v>0</v>
      </c>
    </row>
    <row r="3" spans="1:5" ht="15" thickBot="1" x14ac:dyDescent="0.35">
      <c r="B3" s="20">
        <f>SUM(B4,B5,B6,B7,B8,B9,B10,B11,B12,B13,B16,B15,B14)</f>
        <v>1387</v>
      </c>
      <c r="C3" s="12">
        <f>SUM(C4,C5,C6,C7,C8,C9,,C10,C11,C12,C13,C16,C15,C14)</f>
        <v>670</v>
      </c>
    </row>
    <row r="4" spans="1:5" s="5" customFormat="1" x14ac:dyDescent="0.3">
      <c r="A4" s="4" t="s">
        <v>2</v>
      </c>
      <c r="B4" s="5">
        <v>162</v>
      </c>
      <c r="C4" s="5">
        <v>45</v>
      </c>
    </row>
    <row r="5" spans="1:5" x14ac:dyDescent="0.3">
      <c r="A5" s="4" t="s">
        <v>3</v>
      </c>
      <c r="B5" s="30">
        <v>272</v>
      </c>
      <c r="C5" s="30">
        <v>75</v>
      </c>
    </row>
    <row r="6" spans="1:5" x14ac:dyDescent="0.3">
      <c r="A6" s="4" t="s">
        <v>4</v>
      </c>
      <c r="B6" s="19">
        <v>384</v>
      </c>
      <c r="C6" s="6">
        <v>409</v>
      </c>
    </row>
    <row r="7" spans="1:5" x14ac:dyDescent="0.3">
      <c r="A7" s="4" t="s">
        <v>5</v>
      </c>
      <c r="B7" s="32">
        <v>214</v>
      </c>
      <c r="C7" s="5">
        <v>54</v>
      </c>
    </row>
    <row r="8" spans="1:5" s="15" customFormat="1" x14ac:dyDescent="0.3">
      <c r="A8" s="14" t="s">
        <v>6</v>
      </c>
      <c r="B8" s="6">
        <v>2</v>
      </c>
      <c r="C8" s="6">
        <v>4</v>
      </c>
    </row>
    <row r="9" spans="1:5" x14ac:dyDescent="0.3">
      <c r="A9" s="4" t="s">
        <v>7</v>
      </c>
      <c r="B9" s="5">
        <v>7</v>
      </c>
      <c r="C9" s="5">
        <v>3</v>
      </c>
    </row>
    <row r="10" spans="1:5" x14ac:dyDescent="0.3">
      <c r="A10" s="4" t="s">
        <v>8</v>
      </c>
      <c r="B10" s="5">
        <v>271</v>
      </c>
      <c r="C10" s="5">
        <v>60</v>
      </c>
    </row>
    <row r="11" spans="1:5" x14ac:dyDescent="0.3">
      <c r="A11" s="4" t="s">
        <v>9</v>
      </c>
      <c r="B11" s="5">
        <v>0</v>
      </c>
      <c r="C11" s="5">
        <v>0</v>
      </c>
    </row>
    <row r="12" spans="1:5" x14ac:dyDescent="0.3">
      <c r="A12" s="4" t="s">
        <v>10</v>
      </c>
      <c r="B12" s="5">
        <v>75</v>
      </c>
      <c r="C12" s="5">
        <v>20</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P24"/>
  <sheetViews>
    <sheetView zoomScale="110" zoomScaleNormal="130" workbookViewId="0">
      <selection activeCell="D15" sqref="D15"/>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211</v>
      </c>
      <c r="B1" s="44"/>
      <c r="C1" s="44"/>
      <c r="D1" s="44"/>
      <c r="E1" s="2"/>
    </row>
    <row r="2" spans="1:5" x14ac:dyDescent="0.3">
      <c r="B2" s="9" t="s">
        <v>1</v>
      </c>
      <c r="C2" s="10" t="s">
        <v>0</v>
      </c>
    </row>
    <row r="3" spans="1:5" ht="15" thickBot="1" x14ac:dyDescent="0.35">
      <c r="B3" s="20">
        <f>SUM(B4,B5,B6,B7,B8,B9,B10,B11,B12,B13,B16,B15,B14)</f>
        <v>1598</v>
      </c>
      <c r="C3" s="12">
        <f>SUM(C4,C5,C6,C7,C8,C9,,C10,C11,C12,C13,C16,C15,C14)</f>
        <v>725</v>
      </c>
    </row>
    <row r="4" spans="1:5" s="5" customFormat="1" x14ac:dyDescent="0.3">
      <c r="A4" s="4" t="s">
        <v>2</v>
      </c>
      <c r="B4" s="5">
        <v>176</v>
      </c>
      <c r="C4" s="5">
        <v>49</v>
      </c>
    </row>
    <row r="5" spans="1:5" x14ac:dyDescent="0.3">
      <c r="A5" s="4" t="s">
        <v>3</v>
      </c>
      <c r="B5" s="30">
        <v>306</v>
      </c>
      <c r="C5" s="30">
        <v>81</v>
      </c>
    </row>
    <row r="6" spans="1:5" x14ac:dyDescent="0.3">
      <c r="A6" s="4" t="s">
        <v>4</v>
      </c>
      <c r="B6" s="19">
        <v>489</v>
      </c>
      <c r="C6" s="6">
        <v>440</v>
      </c>
    </row>
    <row r="7" spans="1:5" x14ac:dyDescent="0.3">
      <c r="A7" s="4" t="s">
        <v>5</v>
      </c>
      <c r="B7" s="32">
        <v>251</v>
      </c>
      <c r="C7" s="5">
        <v>64</v>
      </c>
    </row>
    <row r="8" spans="1:5" s="15" customFormat="1" x14ac:dyDescent="0.3">
      <c r="A8" s="14" t="s">
        <v>6</v>
      </c>
      <c r="B8" s="6">
        <v>4</v>
      </c>
      <c r="C8" s="6">
        <v>6</v>
      </c>
    </row>
    <row r="9" spans="1:5" x14ac:dyDescent="0.3">
      <c r="A9" s="4" t="s">
        <v>7</v>
      </c>
      <c r="B9" s="5">
        <v>4</v>
      </c>
      <c r="C9" s="5">
        <v>2</v>
      </c>
    </row>
    <row r="10" spans="1:5" x14ac:dyDescent="0.3">
      <c r="A10" s="4" t="s">
        <v>8</v>
      </c>
      <c r="B10" s="5">
        <v>286</v>
      </c>
      <c r="C10" s="5">
        <v>64</v>
      </c>
    </row>
    <row r="11" spans="1:5" x14ac:dyDescent="0.3">
      <c r="A11" s="4" t="s">
        <v>9</v>
      </c>
      <c r="B11" s="5">
        <v>0</v>
      </c>
      <c r="C11" s="5">
        <v>0</v>
      </c>
    </row>
    <row r="12" spans="1:5" x14ac:dyDescent="0.3">
      <c r="A12" s="4" t="s">
        <v>10</v>
      </c>
      <c r="B12" s="5">
        <v>82</v>
      </c>
      <c r="C12" s="5">
        <v>19</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P24"/>
  <sheetViews>
    <sheetView zoomScale="110" zoomScaleNormal="130" workbookViewId="0">
      <selection activeCell="B13" sqref="B13"/>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210</v>
      </c>
      <c r="B1" s="44"/>
      <c r="C1" s="44"/>
      <c r="D1" s="44"/>
      <c r="E1" s="2"/>
    </row>
    <row r="2" spans="1:5" x14ac:dyDescent="0.3">
      <c r="B2" s="9" t="s">
        <v>1</v>
      </c>
      <c r="C2" s="10" t="s">
        <v>0</v>
      </c>
    </row>
    <row r="3" spans="1:5" ht="15" thickBot="1" x14ac:dyDescent="0.35">
      <c r="B3" s="20">
        <f>SUM(B4,B5,B6,B7,B8,B9,B10,B11,B12,B13,B16,B15,B14)</f>
        <v>1738</v>
      </c>
      <c r="C3" s="12">
        <f>SUM(C4,C5,C6,C7,C8,C9,,C10,C11,C12,C13,C16,C15,C14)</f>
        <v>795</v>
      </c>
    </row>
    <row r="4" spans="1:5" s="5" customFormat="1" x14ac:dyDescent="0.3">
      <c r="A4" s="4" t="s">
        <v>2</v>
      </c>
      <c r="B4" s="5">
        <v>203</v>
      </c>
      <c r="C4" s="5">
        <v>57</v>
      </c>
    </row>
    <row r="5" spans="1:5" x14ac:dyDescent="0.3">
      <c r="A5" s="4" t="s">
        <v>3</v>
      </c>
      <c r="B5" s="30">
        <v>336</v>
      </c>
      <c r="C5" s="30">
        <v>85</v>
      </c>
    </row>
    <row r="6" spans="1:5" x14ac:dyDescent="0.3">
      <c r="A6" s="4" t="s">
        <v>4</v>
      </c>
      <c r="B6" s="19">
        <v>547</v>
      </c>
      <c r="C6" s="6">
        <v>497</v>
      </c>
    </row>
    <row r="7" spans="1:5" x14ac:dyDescent="0.3">
      <c r="A7" s="4" t="s">
        <v>5</v>
      </c>
      <c r="B7" s="32">
        <v>257</v>
      </c>
      <c r="C7" s="5">
        <v>60</v>
      </c>
    </row>
    <row r="8" spans="1:5" s="15" customFormat="1" x14ac:dyDescent="0.3">
      <c r="A8" s="14" t="s">
        <v>6</v>
      </c>
      <c r="B8" s="6">
        <v>8</v>
      </c>
      <c r="C8" s="6">
        <v>7</v>
      </c>
    </row>
    <row r="9" spans="1:5" x14ac:dyDescent="0.3">
      <c r="A9" s="4" t="s">
        <v>7</v>
      </c>
      <c r="B9" s="5">
        <v>4</v>
      </c>
      <c r="C9" s="5">
        <v>2</v>
      </c>
    </row>
    <row r="10" spans="1:5" x14ac:dyDescent="0.3">
      <c r="A10" s="4" t="s">
        <v>8</v>
      </c>
      <c r="B10" s="5">
        <v>293</v>
      </c>
      <c r="C10" s="5">
        <v>67</v>
      </c>
    </row>
    <row r="11" spans="1:5" x14ac:dyDescent="0.3">
      <c r="A11" s="4" t="s">
        <v>9</v>
      </c>
      <c r="B11" s="5">
        <v>0</v>
      </c>
      <c r="C11" s="5">
        <v>0</v>
      </c>
    </row>
    <row r="12" spans="1:5" x14ac:dyDescent="0.3">
      <c r="A12" s="4" t="s">
        <v>10</v>
      </c>
      <c r="B12" s="5">
        <v>89</v>
      </c>
      <c r="C12" s="5">
        <v>20</v>
      </c>
    </row>
    <row r="13" spans="1:5" x14ac:dyDescent="0.3">
      <c r="A13" s="4" t="s">
        <v>11</v>
      </c>
      <c r="B13" s="5">
        <v>1</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P24"/>
  <sheetViews>
    <sheetView zoomScale="110" zoomScaleNormal="130" workbookViewId="0">
      <selection activeCell="D13" sqref="D13"/>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209</v>
      </c>
      <c r="B1" s="44"/>
      <c r="C1" s="44"/>
      <c r="D1" s="44"/>
      <c r="E1" s="2"/>
    </row>
    <row r="2" spans="1:5" x14ac:dyDescent="0.3">
      <c r="B2" s="9" t="s">
        <v>1</v>
      </c>
      <c r="C2" s="10" t="s">
        <v>0</v>
      </c>
    </row>
    <row r="3" spans="1:5" ht="15" thickBot="1" x14ac:dyDescent="0.35">
      <c r="B3" s="20">
        <f>SUM(B4,B5,B6,B7,B8,B9,B10,B11,B12,B13,B16,B15,B14)</f>
        <v>1808</v>
      </c>
      <c r="C3" s="12">
        <f>SUM(C4,C5,C6,C7,C8,C9,,C10,C11,C12,C13,C16,C15,C14)</f>
        <v>804</v>
      </c>
    </row>
    <row r="4" spans="1:5" s="5" customFormat="1" x14ac:dyDescent="0.3">
      <c r="A4" s="4" t="s">
        <v>2</v>
      </c>
      <c r="B4" s="5">
        <v>224</v>
      </c>
      <c r="C4" s="5">
        <v>59</v>
      </c>
    </row>
    <row r="5" spans="1:5" x14ac:dyDescent="0.3">
      <c r="A5" s="4" t="s">
        <v>3</v>
      </c>
      <c r="B5" s="30">
        <v>360</v>
      </c>
      <c r="C5" s="30">
        <v>96</v>
      </c>
    </row>
    <row r="6" spans="1:5" x14ac:dyDescent="0.3">
      <c r="A6" s="4" t="s">
        <v>4</v>
      </c>
      <c r="B6" s="19">
        <v>547</v>
      </c>
      <c r="C6" s="6">
        <v>497</v>
      </c>
    </row>
    <row r="7" spans="1:5" x14ac:dyDescent="0.3">
      <c r="A7" s="4" t="s">
        <v>5</v>
      </c>
      <c r="B7" s="32">
        <v>265</v>
      </c>
      <c r="C7" s="5">
        <v>58</v>
      </c>
    </row>
    <row r="8" spans="1:5" s="15" customFormat="1" x14ac:dyDescent="0.3">
      <c r="A8" s="14" t="s">
        <v>6</v>
      </c>
      <c r="B8" s="6">
        <v>15</v>
      </c>
      <c r="C8" s="6">
        <v>7</v>
      </c>
    </row>
    <row r="9" spans="1:5" x14ac:dyDescent="0.3">
      <c r="A9" s="4" t="s">
        <v>7</v>
      </c>
      <c r="B9" s="5">
        <v>4</v>
      </c>
      <c r="C9" s="5">
        <v>2</v>
      </c>
    </row>
    <row r="10" spans="1:5" x14ac:dyDescent="0.3">
      <c r="A10" s="4" t="s">
        <v>8</v>
      </c>
      <c r="B10" s="5">
        <v>308</v>
      </c>
      <c r="C10" s="5">
        <v>66</v>
      </c>
    </row>
    <row r="11" spans="1:5" x14ac:dyDescent="0.3">
      <c r="A11" s="4" t="s">
        <v>9</v>
      </c>
      <c r="B11" s="5">
        <v>0</v>
      </c>
      <c r="C11" s="5">
        <v>0</v>
      </c>
    </row>
    <row r="12" spans="1:5" x14ac:dyDescent="0.3">
      <c r="A12" s="4" t="s">
        <v>10</v>
      </c>
      <c r="B12" s="5">
        <v>83</v>
      </c>
      <c r="C12" s="5">
        <v>19</v>
      </c>
    </row>
    <row r="13" spans="1:5" x14ac:dyDescent="0.3">
      <c r="A13" s="4" t="s">
        <v>11</v>
      </c>
      <c r="B13" s="5">
        <v>2</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26"/>
  <sheetViews>
    <sheetView zoomScaleNormal="100" workbookViewId="0">
      <selection activeCell="A22" sqref="A22"/>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482</v>
      </c>
      <c r="B1" s="44"/>
      <c r="C1" s="44"/>
      <c r="D1" s="44"/>
      <c r="E1" s="2"/>
    </row>
    <row r="2" spans="1:5" x14ac:dyDescent="0.3">
      <c r="B2" s="9" t="s">
        <v>1</v>
      </c>
      <c r="C2" s="10" t="s">
        <v>0</v>
      </c>
    </row>
    <row r="3" spans="1:5" ht="15" thickBot="1" x14ac:dyDescent="0.35">
      <c r="B3" s="20">
        <f>SUM(B4,B5,B6,B7,B8,B9,B10,B11,B12,B13,B16,B15,B14)</f>
        <v>4212</v>
      </c>
      <c r="C3" s="12">
        <f>SUM(C4,C5,C6,C7,C8,C9,,C10,C11,C12,C13,C16,C15,C14)</f>
        <v>306</v>
      </c>
    </row>
    <row r="4" spans="1:5" s="5" customFormat="1" x14ac:dyDescent="0.3">
      <c r="A4" s="4" t="s">
        <v>2</v>
      </c>
      <c r="B4" s="18">
        <v>473</v>
      </c>
      <c r="C4" s="5">
        <v>42</v>
      </c>
    </row>
    <row r="5" spans="1:5" x14ac:dyDescent="0.3">
      <c r="A5" s="4" t="s">
        <v>3</v>
      </c>
      <c r="B5" s="30">
        <v>1040</v>
      </c>
      <c r="C5" s="30">
        <v>31</v>
      </c>
      <c r="D5" s="5"/>
    </row>
    <row r="6" spans="1:5" x14ac:dyDescent="0.3">
      <c r="A6" s="4" t="s">
        <v>4</v>
      </c>
      <c r="B6" s="19">
        <v>948</v>
      </c>
      <c r="C6" s="6">
        <v>154</v>
      </c>
      <c r="D6" s="5"/>
    </row>
    <row r="7" spans="1:5" x14ac:dyDescent="0.3">
      <c r="A7" s="4" t="s">
        <v>5</v>
      </c>
      <c r="B7" s="32">
        <v>1288</v>
      </c>
      <c r="C7" s="5">
        <v>36</v>
      </c>
      <c r="D7" s="5"/>
    </row>
    <row r="8" spans="1:5" s="15" customFormat="1" x14ac:dyDescent="0.3">
      <c r="A8" s="14" t="s">
        <v>6</v>
      </c>
      <c r="B8" s="6">
        <v>41</v>
      </c>
      <c r="C8" s="6">
        <v>8</v>
      </c>
      <c r="D8" s="5"/>
    </row>
    <row r="9" spans="1:5" x14ac:dyDescent="0.3">
      <c r="A9" s="4" t="s">
        <v>7</v>
      </c>
      <c r="B9" s="5">
        <v>27</v>
      </c>
      <c r="C9" s="5">
        <v>2</v>
      </c>
      <c r="D9" s="5"/>
    </row>
    <row r="10" spans="1:5" x14ac:dyDescent="0.3">
      <c r="A10" s="4" t="s">
        <v>8</v>
      </c>
      <c r="B10" s="5">
        <v>112</v>
      </c>
      <c r="C10" s="5">
        <v>21</v>
      </c>
      <c r="D10" s="5"/>
    </row>
    <row r="11" spans="1:5" x14ac:dyDescent="0.3">
      <c r="A11" s="4" t="s">
        <v>9</v>
      </c>
      <c r="B11" s="5">
        <v>12</v>
      </c>
      <c r="C11" s="5">
        <v>0</v>
      </c>
      <c r="D11" s="5"/>
    </row>
    <row r="12" spans="1:5" x14ac:dyDescent="0.3">
      <c r="A12" s="4" t="s">
        <v>10</v>
      </c>
      <c r="B12" s="5">
        <v>258</v>
      </c>
      <c r="C12" s="5">
        <v>10</v>
      </c>
      <c r="D12" s="5"/>
    </row>
    <row r="13" spans="1:5" x14ac:dyDescent="0.3">
      <c r="A13" s="4" t="s">
        <v>11</v>
      </c>
      <c r="B13" s="5">
        <v>13</v>
      </c>
      <c r="C13" s="5">
        <v>2</v>
      </c>
      <c r="D13" s="5"/>
    </row>
    <row r="14" spans="1:5" x14ac:dyDescent="0.3">
      <c r="A14" s="4" t="s">
        <v>12</v>
      </c>
      <c r="B14" s="8">
        <v>0</v>
      </c>
      <c r="C14" s="7">
        <v>0</v>
      </c>
      <c r="D14" s="5"/>
    </row>
    <row r="15" spans="1:5" x14ac:dyDescent="0.3">
      <c r="A15" s="4" t="s">
        <v>13</v>
      </c>
      <c r="B15" s="5">
        <v>0</v>
      </c>
      <c r="C15" s="5">
        <v>0</v>
      </c>
      <c r="D15" s="5" t="s">
        <v>231</v>
      </c>
    </row>
    <row r="16" spans="1:5" x14ac:dyDescent="0.3">
      <c r="A16" s="4" t="s">
        <v>14</v>
      </c>
      <c r="B16" s="5">
        <v>0</v>
      </c>
      <c r="C16" s="5">
        <v>0</v>
      </c>
      <c r="D16" s="5"/>
    </row>
    <row r="17" spans="1:9" x14ac:dyDescent="0.3">
      <c r="B17" s="3"/>
    </row>
    <row r="20" spans="1:9" x14ac:dyDescent="0.3">
      <c r="A20" s="1" t="s">
        <v>122</v>
      </c>
    </row>
    <row r="21" spans="1:9" s="3" customFormat="1" x14ac:dyDescent="0.3">
      <c r="A21" s="33" t="s">
        <v>480</v>
      </c>
      <c r="B21" s="8"/>
    </row>
    <row r="22" spans="1:9" s="3" customFormat="1" x14ac:dyDescent="0.3">
      <c r="A22" s="34" t="s">
        <v>481</v>
      </c>
      <c r="B22" s="8"/>
    </row>
    <row r="23" spans="1:9" s="3" customFormat="1" x14ac:dyDescent="0.3">
      <c r="A23" s="35" t="s">
        <v>471</v>
      </c>
      <c r="B23" s="8"/>
    </row>
    <row r="24" spans="1:9" s="3" customFormat="1" x14ac:dyDescent="0.3">
      <c r="A24" s="33" t="s">
        <v>478</v>
      </c>
      <c r="B24" s="8"/>
    </row>
    <row r="25" spans="1:9" s="3" customFormat="1" x14ac:dyDescent="0.3">
      <c r="A25" s="36" t="s">
        <v>477</v>
      </c>
      <c r="B25" s="8"/>
    </row>
    <row r="26" spans="1:9" s="3" customFormat="1" x14ac:dyDescent="0.3">
      <c r="A26" s="33" t="s">
        <v>479</v>
      </c>
      <c r="B26" s="8"/>
      <c r="I26" s="3" t="s">
        <v>414</v>
      </c>
    </row>
  </sheetData>
  <mergeCells count="1">
    <mergeCell ref="A1:D1"/>
  </mergeCells>
  <hyperlinks>
    <hyperlink ref="A21" r:id="rId1" display="** NT's official website does not disclose the number of current hospitalizations, but according to the press, between April 1st and April 19th, the NWT reported eight new hospitalizations and one intensive care admission. " xr:uid="{00000000-0004-0000-0000-000000000000}"/>
    <hyperlink ref="A22" r:id="rId2" display="**** YT's official website is now informing the number of hospitalizations, which is 2 as of March 7th." xr:uid="{00000000-0004-0000-0000-000001000000}"/>
    <hyperlink ref="A23" r:id="rId3" xr:uid="{00000000-0004-0000-0000-000002000000}"/>
    <hyperlink ref="A24" r:id="rId4" display="*****NB's latest official report only informs the number of patients admitted for Covid-19, not including the number of patients that were admitted for other reasons and tested positive for Covid-19 later on." xr:uid="{00000000-0004-0000-0000-000003000000}"/>
    <hyperlink ref="A26" r:id="rId5" xr:uid="{00000000-0004-0000-0000-000004000000}"/>
    <hyperlink ref="A25" r:id="rId6" display="******MB's official website is no longer doing daily reporting. The information was extracted from the latest offical report from May 10th. Note that these are the numbers of new hospitalizations and ICU admissions for the May 1st-7th week. The numbers of" xr:uid="{00000000-0004-0000-0000-000005000000}"/>
  </hyperlinks>
  <pageMargins left="0.7" right="0.7" top="0.75" bottom="0.75" header="0.3" footer="0.3"/>
  <pageSetup orientation="portrait" r:id="rId7"/>
  <drawing r:id="rId8"/>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P24"/>
  <sheetViews>
    <sheetView zoomScale="110" zoomScaleNormal="130" workbookViewId="0">
      <selection activeCell="D15" sqref="D15"/>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208</v>
      </c>
      <c r="B1" s="44"/>
      <c r="C1" s="44"/>
      <c r="D1" s="44"/>
      <c r="E1" s="2"/>
    </row>
    <row r="2" spans="1:5" x14ac:dyDescent="0.3">
      <c r="B2" s="9" t="s">
        <v>1</v>
      </c>
      <c r="C2" s="10" t="s">
        <v>0</v>
      </c>
    </row>
    <row r="3" spans="1:5" ht="15" thickBot="1" x14ac:dyDescent="0.35">
      <c r="B3" s="20">
        <f>SUM(B4,B5,B6,B7,B8,B9,B10,B11,B12,B13,B16,B15,B14)</f>
        <v>2023</v>
      </c>
      <c r="C3" s="12">
        <f>SUM(C4,C5,C6,C7,C8,C9,,C10,C11,C12,C13,C16,C15,C14)</f>
        <v>873</v>
      </c>
    </row>
    <row r="4" spans="1:5" s="5" customFormat="1" x14ac:dyDescent="0.3">
      <c r="A4" s="4" t="s">
        <v>2</v>
      </c>
      <c r="B4" s="5">
        <v>224</v>
      </c>
      <c r="C4" s="5">
        <v>62</v>
      </c>
    </row>
    <row r="5" spans="1:5" x14ac:dyDescent="0.3">
      <c r="A5" s="4" t="s">
        <v>3</v>
      </c>
      <c r="B5" s="30">
        <v>411</v>
      </c>
      <c r="C5" s="30">
        <v>120</v>
      </c>
    </row>
    <row r="6" spans="1:5" x14ac:dyDescent="0.3">
      <c r="A6" s="4" t="s">
        <v>4</v>
      </c>
      <c r="B6" s="19">
        <v>687</v>
      </c>
      <c r="C6" s="6">
        <v>522</v>
      </c>
    </row>
    <row r="7" spans="1:5" x14ac:dyDescent="0.3">
      <c r="A7" s="4" t="s">
        <v>5</v>
      </c>
      <c r="B7" s="32">
        <v>307</v>
      </c>
      <c r="C7" s="5">
        <v>67</v>
      </c>
    </row>
    <row r="8" spans="1:5" s="15" customFormat="1" x14ac:dyDescent="0.3">
      <c r="A8" s="14" t="s">
        <v>6</v>
      </c>
      <c r="B8" s="6">
        <v>13</v>
      </c>
      <c r="C8" s="6">
        <v>9</v>
      </c>
    </row>
    <row r="9" spans="1:5" x14ac:dyDescent="0.3">
      <c r="A9" s="4" t="s">
        <v>7</v>
      </c>
      <c r="B9" s="5">
        <v>5</v>
      </c>
      <c r="C9" s="5">
        <v>2</v>
      </c>
    </row>
    <row r="10" spans="1:5" x14ac:dyDescent="0.3">
      <c r="A10" s="4" t="s">
        <v>8</v>
      </c>
      <c r="B10" s="5">
        <v>297</v>
      </c>
      <c r="C10" s="5">
        <v>68</v>
      </c>
    </row>
    <row r="11" spans="1:5" x14ac:dyDescent="0.3">
      <c r="A11" s="4" t="s">
        <v>9</v>
      </c>
      <c r="B11" s="5">
        <v>0</v>
      </c>
      <c r="C11" s="5">
        <v>0</v>
      </c>
    </row>
    <row r="12" spans="1:5" x14ac:dyDescent="0.3">
      <c r="A12" s="4" t="s">
        <v>10</v>
      </c>
      <c r="B12" s="5">
        <v>77</v>
      </c>
      <c r="C12" s="5">
        <v>23</v>
      </c>
    </row>
    <row r="13" spans="1:5" x14ac:dyDescent="0.3">
      <c r="A13" s="4" t="s">
        <v>11</v>
      </c>
      <c r="B13" s="5">
        <v>2</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P24"/>
  <sheetViews>
    <sheetView zoomScale="110" zoomScaleNormal="130" workbookViewId="0">
      <selection activeCell="C14" sqref="C1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207</v>
      </c>
      <c r="B1" s="44"/>
      <c r="C1" s="44"/>
      <c r="D1" s="44"/>
      <c r="E1" s="2"/>
    </row>
    <row r="2" spans="1:5" x14ac:dyDescent="0.3">
      <c r="B2" s="9" t="s">
        <v>1</v>
      </c>
      <c r="C2" s="10" t="s">
        <v>0</v>
      </c>
    </row>
    <row r="3" spans="1:5" ht="15" thickBot="1" x14ac:dyDescent="0.35">
      <c r="B3" s="20">
        <f>SUM(B4,B5,B6,B7,B8,B9,B10,B11,B12,B13,B16,B15,B14)</f>
        <v>2174</v>
      </c>
      <c r="C3" s="12">
        <f>SUM(C4,C5,C6,C7,C8,C9,,C10,C11,C12,C13,C16,C15,C14)</f>
        <v>981</v>
      </c>
    </row>
    <row r="4" spans="1:5" s="5" customFormat="1" x14ac:dyDescent="0.3">
      <c r="A4" s="4" t="s">
        <v>2</v>
      </c>
      <c r="B4" s="5">
        <v>254</v>
      </c>
      <c r="C4" s="5">
        <v>80</v>
      </c>
    </row>
    <row r="5" spans="1:5" x14ac:dyDescent="0.3">
      <c r="A5" s="4" t="s">
        <v>3</v>
      </c>
      <c r="B5" s="30">
        <v>438</v>
      </c>
      <c r="C5" s="30">
        <v>127</v>
      </c>
    </row>
    <row r="6" spans="1:5" x14ac:dyDescent="0.3">
      <c r="A6" s="4" t="s">
        <v>4</v>
      </c>
      <c r="B6" s="19">
        <v>708</v>
      </c>
      <c r="C6" s="6">
        <v>576</v>
      </c>
    </row>
    <row r="7" spans="1:5" x14ac:dyDescent="0.3">
      <c r="A7" s="4" t="s">
        <v>5</v>
      </c>
      <c r="B7" s="32">
        <v>354</v>
      </c>
      <c r="C7" s="5">
        <v>86</v>
      </c>
    </row>
    <row r="8" spans="1:5" s="15" customFormat="1" x14ac:dyDescent="0.3">
      <c r="A8" s="14" t="s">
        <v>6</v>
      </c>
      <c r="B8" s="6">
        <v>23</v>
      </c>
      <c r="C8" s="6">
        <v>15</v>
      </c>
    </row>
    <row r="9" spans="1:5" x14ac:dyDescent="0.3">
      <c r="A9" s="4" t="s">
        <v>7</v>
      </c>
      <c r="B9" s="5">
        <v>6</v>
      </c>
      <c r="C9" s="5">
        <v>2</v>
      </c>
    </row>
    <row r="10" spans="1:5" x14ac:dyDescent="0.3">
      <c r="A10" s="4" t="s">
        <v>8</v>
      </c>
      <c r="B10" s="5">
        <v>305</v>
      </c>
      <c r="C10" s="5">
        <v>72</v>
      </c>
    </row>
    <row r="11" spans="1:5" x14ac:dyDescent="0.3">
      <c r="A11" s="4" t="s">
        <v>9</v>
      </c>
      <c r="B11" s="5">
        <v>0</v>
      </c>
      <c r="C11" s="5">
        <v>0</v>
      </c>
    </row>
    <row r="12" spans="1:5" x14ac:dyDescent="0.3">
      <c r="A12" s="4" t="s">
        <v>10</v>
      </c>
      <c r="B12" s="5">
        <v>85</v>
      </c>
      <c r="C12" s="5">
        <v>23</v>
      </c>
    </row>
    <row r="13" spans="1:5" x14ac:dyDescent="0.3">
      <c r="A13" s="4" t="s">
        <v>11</v>
      </c>
      <c r="B13" s="5">
        <v>1</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P24"/>
  <sheetViews>
    <sheetView zoomScale="110" zoomScaleNormal="130" workbookViewId="0">
      <selection activeCell="D16" sqref="D16"/>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206</v>
      </c>
      <c r="B1" s="44"/>
      <c r="C1" s="44"/>
      <c r="D1" s="44"/>
      <c r="E1" s="2"/>
    </row>
    <row r="2" spans="1:5" x14ac:dyDescent="0.3">
      <c r="B2" s="9" t="s">
        <v>1</v>
      </c>
      <c r="C2" s="10" t="s">
        <v>0</v>
      </c>
    </row>
    <row r="3" spans="1:5" ht="15" thickBot="1" x14ac:dyDescent="0.35">
      <c r="B3" s="20">
        <f>SUM(B4,B5,B6,B7,B8,B9,B10,B11,B12,B13,B16,B15,B14)</f>
        <v>2256</v>
      </c>
      <c r="C3" s="12">
        <f>SUM(C4,C5,C6,C7,C8,C9,,C10,C11,C12,C13,C16,C15,C14)</f>
        <v>1041</v>
      </c>
    </row>
    <row r="4" spans="1:5" s="5" customFormat="1" x14ac:dyDescent="0.3">
      <c r="A4" s="4" t="s">
        <v>2</v>
      </c>
      <c r="B4" s="5">
        <v>292</v>
      </c>
      <c r="C4" s="5">
        <v>79</v>
      </c>
    </row>
    <row r="5" spans="1:5" x14ac:dyDescent="0.3">
      <c r="A5" s="4" t="s">
        <v>3</v>
      </c>
      <c r="B5" s="30">
        <v>446</v>
      </c>
      <c r="C5" s="30">
        <v>138</v>
      </c>
    </row>
    <row r="6" spans="1:5" x14ac:dyDescent="0.3">
      <c r="A6" s="4" t="s">
        <v>4</v>
      </c>
      <c r="B6" s="19">
        <v>731</v>
      </c>
      <c r="C6" s="6">
        <v>617</v>
      </c>
    </row>
    <row r="7" spans="1:5" x14ac:dyDescent="0.3">
      <c r="A7" s="4" t="s">
        <v>5</v>
      </c>
      <c r="B7" s="32">
        <v>362</v>
      </c>
      <c r="C7" s="5">
        <v>89</v>
      </c>
    </row>
    <row r="8" spans="1:5" s="15" customFormat="1" x14ac:dyDescent="0.3">
      <c r="A8" s="14" t="s">
        <v>6</v>
      </c>
      <c r="B8" s="6">
        <v>24</v>
      </c>
      <c r="C8" s="6">
        <v>16</v>
      </c>
    </row>
    <row r="9" spans="1:5" x14ac:dyDescent="0.3">
      <c r="A9" s="4" t="s">
        <v>7</v>
      </c>
      <c r="B9" s="5">
        <v>7</v>
      </c>
      <c r="C9" s="5">
        <v>3</v>
      </c>
    </row>
    <row r="10" spans="1:5" x14ac:dyDescent="0.3">
      <c r="A10" s="4" t="s">
        <v>8</v>
      </c>
      <c r="B10" s="5">
        <v>308</v>
      </c>
      <c r="C10" s="5">
        <v>74</v>
      </c>
    </row>
    <row r="11" spans="1:5" x14ac:dyDescent="0.3">
      <c r="A11" s="4" t="s">
        <v>9</v>
      </c>
      <c r="B11" s="5">
        <v>0</v>
      </c>
      <c r="C11" s="5">
        <v>0</v>
      </c>
    </row>
    <row r="12" spans="1:5" x14ac:dyDescent="0.3">
      <c r="A12" s="4" t="s">
        <v>10</v>
      </c>
      <c r="B12" s="5">
        <v>84</v>
      </c>
      <c r="C12" s="5">
        <v>25</v>
      </c>
    </row>
    <row r="13" spans="1:5" x14ac:dyDescent="0.3">
      <c r="A13" s="4" t="s">
        <v>11</v>
      </c>
      <c r="B13" s="5">
        <v>2</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P24"/>
  <sheetViews>
    <sheetView zoomScale="110" zoomScaleNormal="130" workbookViewId="0">
      <selection activeCell="D14" sqref="D1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205</v>
      </c>
      <c r="B1" s="44"/>
      <c r="C1" s="44"/>
      <c r="D1" s="44"/>
      <c r="E1" s="2"/>
    </row>
    <row r="2" spans="1:5" x14ac:dyDescent="0.3">
      <c r="B2" s="9" t="s">
        <v>1</v>
      </c>
      <c r="C2" s="10" t="s">
        <v>0</v>
      </c>
    </row>
    <row r="3" spans="1:5" ht="15" thickBot="1" x14ac:dyDescent="0.35">
      <c r="B3" s="20">
        <f>SUM(B4,B5,B6,B7,B8,B9,B10,B11,B12,B13,B16,B15,B14)</f>
        <v>2798</v>
      </c>
      <c r="C3" s="12">
        <f>SUM(C4,C5,C6,C7,C8,C9,,C10,C11,C12,C13,C16,C15,C14)</f>
        <v>1122</v>
      </c>
    </row>
    <row r="4" spans="1:5" s="5" customFormat="1" x14ac:dyDescent="0.3">
      <c r="A4" s="4" t="s">
        <v>2</v>
      </c>
      <c r="B4" s="5">
        <v>296</v>
      </c>
      <c r="C4" s="5">
        <v>97</v>
      </c>
    </row>
    <row r="5" spans="1:5" x14ac:dyDescent="0.3">
      <c r="A5" s="4" t="s">
        <v>3</v>
      </c>
      <c r="B5" s="30">
        <v>548</v>
      </c>
      <c r="C5" s="30">
        <v>157</v>
      </c>
    </row>
    <row r="6" spans="1:5" x14ac:dyDescent="0.3">
      <c r="A6" s="4" t="s">
        <v>4</v>
      </c>
      <c r="B6" s="19">
        <v>1072</v>
      </c>
      <c r="C6" s="6">
        <v>650</v>
      </c>
    </row>
    <row r="7" spans="1:5" x14ac:dyDescent="0.3">
      <c r="A7" s="4" t="s">
        <v>5</v>
      </c>
      <c r="B7" s="32">
        <v>394</v>
      </c>
      <c r="C7" s="5">
        <v>96</v>
      </c>
    </row>
    <row r="8" spans="1:5" s="15" customFormat="1" x14ac:dyDescent="0.3">
      <c r="A8" s="14" t="s">
        <v>6</v>
      </c>
      <c r="B8" s="6">
        <v>53</v>
      </c>
      <c r="C8" s="6">
        <v>19</v>
      </c>
    </row>
    <row r="9" spans="1:5" x14ac:dyDescent="0.3">
      <c r="A9" s="4" t="s">
        <v>7</v>
      </c>
      <c r="B9" s="5">
        <v>6</v>
      </c>
      <c r="C9" s="5">
        <v>2</v>
      </c>
    </row>
    <row r="10" spans="1:5" x14ac:dyDescent="0.3">
      <c r="A10" s="4" t="s">
        <v>8</v>
      </c>
      <c r="B10" s="5">
        <v>318</v>
      </c>
      <c r="C10" s="5">
        <v>74</v>
      </c>
    </row>
    <row r="11" spans="1:5" x14ac:dyDescent="0.3">
      <c r="A11" s="4" t="s">
        <v>9</v>
      </c>
      <c r="B11" s="5">
        <v>0</v>
      </c>
      <c r="C11" s="5">
        <v>0</v>
      </c>
    </row>
    <row r="12" spans="1:5" x14ac:dyDescent="0.3">
      <c r="A12" s="4" t="s">
        <v>10</v>
      </c>
      <c r="B12" s="5">
        <v>106</v>
      </c>
      <c r="C12" s="5">
        <v>27</v>
      </c>
    </row>
    <row r="13" spans="1:5" x14ac:dyDescent="0.3">
      <c r="A13" s="4" t="s">
        <v>11</v>
      </c>
      <c r="B13" s="5">
        <v>5</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P24"/>
  <sheetViews>
    <sheetView zoomScale="110" zoomScaleNormal="130" workbookViewId="0">
      <selection activeCell="D11" sqref="D11"/>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204</v>
      </c>
      <c r="B1" s="44"/>
      <c r="C1" s="44"/>
      <c r="D1" s="44"/>
      <c r="E1" s="2"/>
    </row>
    <row r="2" spans="1:5" x14ac:dyDescent="0.3">
      <c r="B2" s="9" t="s">
        <v>1</v>
      </c>
      <c r="C2" s="10" t="s">
        <v>0</v>
      </c>
    </row>
    <row r="3" spans="1:5" ht="15" thickBot="1" x14ac:dyDescent="0.35">
      <c r="B3" s="20">
        <f>SUM(B4,B5,B6,B7,B8,B9,B10,B11,B12,B13,B16,B15,B14)</f>
        <v>2813</v>
      </c>
      <c r="C3" s="12">
        <f>SUM(C4,C5,C6,C7,C8,C9,,C10,C11,C12,C13,C16,C15,C14)</f>
        <v>1186</v>
      </c>
    </row>
    <row r="4" spans="1:5" s="5" customFormat="1" x14ac:dyDescent="0.3">
      <c r="A4" s="4" t="s">
        <v>2</v>
      </c>
      <c r="B4" s="5">
        <v>319</v>
      </c>
      <c r="C4" s="5">
        <v>107</v>
      </c>
    </row>
    <row r="5" spans="1:5" x14ac:dyDescent="0.3">
      <c r="A5" s="4" t="s">
        <v>3</v>
      </c>
      <c r="B5" s="30">
        <v>569</v>
      </c>
      <c r="C5" s="30">
        <v>161</v>
      </c>
    </row>
    <row r="6" spans="1:5" x14ac:dyDescent="0.3">
      <c r="A6" s="4" t="s">
        <v>4</v>
      </c>
      <c r="B6" s="19">
        <v>1025</v>
      </c>
      <c r="C6" s="6">
        <v>692</v>
      </c>
    </row>
    <row r="7" spans="1:5" x14ac:dyDescent="0.3">
      <c r="A7" s="4" t="s">
        <v>5</v>
      </c>
      <c r="B7" s="32">
        <v>415</v>
      </c>
      <c r="C7" s="5">
        <v>101</v>
      </c>
    </row>
    <row r="8" spans="1:5" s="15" customFormat="1" x14ac:dyDescent="0.3">
      <c r="A8" s="14" t="s">
        <v>6</v>
      </c>
      <c r="B8" s="6">
        <v>53</v>
      </c>
      <c r="C8" s="6">
        <v>19</v>
      </c>
    </row>
    <row r="9" spans="1:5" x14ac:dyDescent="0.3">
      <c r="A9" s="4" t="s">
        <v>7</v>
      </c>
      <c r="B9" s="5">
        <v>7</v>
      </c>
      <c r="C9" s="5">
        <v>4</v>
      </c>
    </row>
    <row r="10" spans="1:5" x14ac:dyDescent="0.3">
      <c r="A10" s="4" t="s">
        <v>8</v>
      </c>
      <c r="B10" s="5">
        <v>316</v>
      </c>
      <c r="C10" s="5">
        <v>74</v>
      </c>
    </row>
    <row r="11" spans="1:5" x14ac:dyDescent="0.3">
      <c r="A11" s="4" t="s">
        <v>9</v>
      </c>
      <c r="B11" s="5">
        <v>0</v>
      </c>
      <c r="C11" s="5">
        <v>0</v>
      </c>
    </row>
    <row r="12" spans="1:5" x14ac:dyDescent="0.3">
      <c r="A12" s="4" t="s">
        <v>10</v>
      </c>
      <c r="B12" s="5">
        <v>105</v>
      </c>
      <c r="C12" s="5">
        <v>28</v>
      </c>
    </row>
    <row r="13" spans="1:5" x14ac:dyDescent="0.3">
      <c r="A13" s="4" t="s">
        <v>11</v>
      </c>
      <c r="B13" s="5">
        <v>4</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P24"/>
  <sheetViews>
    <sheetView zoomScale="110" zoomScaleNormal="130" workbookViewId="0">
      <selection activeCell="I20" sqref="I20"/>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203</v>
      </c>
      <c r="B1" s="44"/>
      <c r="C1" s="44"/>
      <c r="D1" s="44"/>
      <c r="E1" s="2"/>
    </row>
    <row r="2" spans="1:5" x14ac:dyDescent="0.3">
      <c r="B2" s="9" t="s">
        <v>1</v>
      </c>
      <c r="C2" s="10" t="s">
        <v>0</v>
      </c>
    </row>
    <row r="3" spans="1:5" ht="15" thickBot="1" x14ac:dyDescent="0.35">
      <c r="B3" s="20">
        <f>SUM(B4,B5,B6,B7,B8,B9,B10,B11,B12,B13,B16,B15,B14)</f>
        <v>3223</v>
      </c>
      <c r="C3" s="12">
        <f>SUM(C4,C5,C6,C7,C8,C9,,C10,C11,C12,C13,C16,C15,C14)</f>
        <v>1236</v>
      </c>
    </row>
    <row r="4" spans="1:5" s="5" customFormat="1" x14ac:dyDescent="0.3">
      <c r="A4" s="4" t="s">
        <v>2</v>
      </c>
      <c r="B4" s="5">
        <v>331</v>
      </c>
      <c r="C4" s="5">
        <v>113</v>
      </c>
    </row>
    <row r="5" spans="1:5" x14ac:dyDescent="0.3">
      <c r="A5" s="4" t="s">
        <v>3</v>
      </c>
      <c r="B5" s="30">
        <v>665</v>
      </c>
      <c r="C5" s="30">
        <v>177</v>
      </c>
    </row>
    <row r="6" spans="1:5" x14ac:dyDescent="0.3">
      <c r="A6" s="4" t="s">
        <v>4</v>
      </c>
      <c r="B6" s="19">
        <v>1265</v>
      </c>
      <c r="C6" s="6">
        <v>715</v>
      </c>
    </row>
    <row r="7" spans="1:5" x14ac:dyDescent="0.3">
      <c r="A7" s="4" t="s">
        <v>5</v>
      </c>
      <c r="B7" s="32">
        <v>437</v>
      </c>
      <c r="C7" s="5">
        <v>106</v>
      </c>
    </row>
    <row r="8" spans="1:5" s="15" customFormat="1" x14ac:dyDescent="0.3">
      <c r="A8" s="14" t="s">
        <v>6</v>
      </c>
      <c r="B8" s="6">
        <v>87</v>
      </c>
      <c r="C8" s="6">
        <v>20</v>
      </c>
    </row>
    <row r="9" spans="1:5" x14ac:dyDescent="0.3">
      <c r="A9" s="4" t="s">
        <v>7</v>
      </c>
      <c r="B9" s="5">
        <v>7</v>
      </c>
      <c r="C9" s="5">
        <v>3</v>
      </c>
    </row>
    <row r="10" spans="1:5" x14ac:dyDescent="0.3">
      <c r="A10" s="4" t="s">
        <v>8</v>
      </c>
      <c r="B10" s="5">
        <v>291</v>
      </c>
      <c r="C10" s="5">
        <v>76</v>
      </c>
    </row>
    <row r="11" spans="1:5" x14ac:dyDescent="0.3">
      <c r="A11" s="4" t="s">
        <v>9</v>
      </c>
      <c r="B11" s="5">
        <v>0</v>
      </c>
      <c r="C11" s="5">
        <v>0</v>
      </c>
    </row>
    <row r="12" spans="1:5" x14ac:dyDescent="0.3">
      <c r="A12" s="4" t="s">
        <v>10</v>
      </c>
      <c r="B12" s="5">
        <v>138</v>
      </c>
      <c r="C12" s="5">
        <v>26</v>
      </c>
    </row>
    <row r="13" spans="1:5" x14ac:dyDescent="0.3">
      <c r="A13" s="4" t="s">
        <v>11</v>
      </c>
      <c r="B13" s="5">
        <v>2</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P24"/>
  <sheetViews>
    <sheetView zoomScale="110" zoomScaleNormal="130" workbookViewId="0">
      <selection activeCell="D13" sqref="D13"/>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202</v>
      </c>
      <c r="B1" s="44"/>
      <c r="C1" s="44"/>
      <c r="D1" s="44"/>
      <c r="E1" s="2"/>
    </row>
    <row r="2" spans="1:5" x14ac:dyDescent="0.3">
      <c r="B2" s="9" t="s">
        <v>1</v>
      </c>
      <c r="C2" s="10" t="s">
        <v>0</v>
      </c>
    </row>
    <row r="3" spans="1:5" ht="15" thickBot="1" x14ac:dyDescent="0.35">
      <c r="B3" s="20">
        <f>SUM(B4,B5,B6,B7,B8,B9,B10,B11,B12,B13,B16,B15,B14)</f>
        <v>3395</v>
      </c>
      <c r="C3" s="12">
        <f>SUM(C4,C5,C6,C7,C8,C9,,C10,C11,C12,C13,C16,C15,C14)</f>
        <v>1284</v>
      </c>
    </row>
    <row r="4" spans="1:5" s="5" customFormat="1" x14ac:dyDescent="0.3">
      <c r="A4" s="4" t="s">
        <v>2</v>
      </c>
      <c r="B4" s="5">
        <v>360</v>
      </c>
      <c r="C4" s="5">
        <v>127</v>
      </c>
    </row>
    <row r="5" spans="1:5" x14ac:dyDescent="0.3">
      <c r="A5" s="4" t="s">
        <v>3</v>
      </c>
      <c r="B5" s="30">
        <v>691</v>
      </c>
      <c r="C5" s="30">
        <v>187</v>
      </c>
    </row>
    <row r="6" spans="1:5" x14ac:dyDescent="0.3">
      <c r="A6" s="4" t="s">
        <v>4</v>
      </c>
      <c r="B6" s="19">
        <v>1401</v>
      </c>
      <c r="C6" s="6">
        <v>735</v>
      </c>
    </row>
    <row r="7" spans="1:5" x14ac:dyDescent="0.3">
      <c r="A7" s="4" t="s">
        <v>5</v>
      </c>
      <c r="B7" s="32">
        <v>466</v>
      </c>
      <c r="C7" s="5">
        <v>113</v>
      </c>
    </row>
    <row r="8" spans="1:5" s="15" customFormat="1" x14ac:dyDescent="0.3">
      <c r="A8" s="14" t="s">
        <v>6</v>
      </c>
      <c r="B8" s="6">
        <v>81</v>
      </c>
      <c r="C8" s="6">
        <v>20</v>
      </c>
    </row>
    <row r="9" spans="1:5" x14ac:dyDescent="0.3">
      <c r="A9" s="4" t="s">
        <v>7</v>
      </c>
      <c r="B9" s="5">
        <v>11</v>
      </c>
      <c r="C9" s="5">
        <v>4</v>
      </c>
    </row>
    <row r="10" spans="1:5" x14ac:dyDescent="0.3">
      <c r="A10" s="4" t="s">
        <v>8</v>
      </c>
      <c r="B10" s="5">
        <v>278</v>
      </c>
      <c r="C10" s="5">
        <v>70</v>
      </c>
    </row>
    <row r="11" spans="1:5" x14ac:dyDescent="0.3">
      <c r="A11" s="4" t="s">
        <v>9</v>
      </c>
      <c r="B11" s="5">
        <v>0</v>
      </c>
      <c r="C11" s="5">
        <v>0</v>
      </c>
    </row>
    <row r="12" spans="1:5" x14ac:dyDescent="0.3">
      <c r="A12" s="4" t="s">
        <v>10</v>
      </c>
      <c r="B12" s="5">
        <v>106</v>
      </c>
      <c r="C12" s="5">
        <v>28</v>
      </c>
    </row>
    <row r="13" spans="1:5" x14ac:dyDescent="0.3">
      <c r="A13" s="4" t="s">
        <v>11</v>
      </c>
      <c r="B13" s="5">
        <v>1</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P24"/>
  <sheetViews>
    <sheetView zoomScale="110" zoomScaleNormal="130" workbookViewId="0">
      <selection activeCell="D13" sqref="D13"/>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201</v>
      </c>
      <c r="B1" s="44"/>
      <c r="C1" s="44"/>
      <c r="D1" s="44"/>
      <c r="E1" s="2"/>
    </row>
    <row r="2" spans="1:5" x14ac:dyDescent="0.3">
      <c r="B2" s="9" t="s">
        <v>1</v>
      </c>
      <c r="C2" s="10" t="s">
        <v>0</v>
      </c>
    </row>
    <row r="3" spans="1:5" ht="15" thickBot="1" x14ac:dyDescent="0.35">
      <c r="B3" s="20">
        <f>SUM(B4,B5,B6,B7,B8,B9,B10,B11,B12,B13,B16,B15,B14)</f>
        <v>3292</v>
      </c>
      <c r="C3" s="12">
        <f>SUM(C4,C5,C6,C7,C8,C9,,C10,C11,C12,C13,C16,C15,C14)</f>
        <v>1341</v>
      </c>
    </row>
    <row r="4" spans="1:5" s="5" customFormat="1" x14ac:dyDescent="0.3">
      <c r="A4" s="4" t="s">
        <v>2</v>
      </c>
      <c r="B4" s="5">
        <v>367</v>
      </c>
      <c r="C4" s="5">
        <v>141</v>
      </c>
    </row>
    <row r="5" spans="1:5" x14ac:dyDescent="0.3">
      <c r="A5" s="4" t="s">
        <v>3</v>
      </c>
      <c r="B5" s="30">
        <v>647</v>
      </c>
      <c r="C5" s="30">
        <v>186</v>
      </c>
    </row>
    <row r="6" spans="1:5" x14ac:dyDescent="0.3">
      <c r="A6" s="4" t="s">
        <v>4</v>
      </c>
      <c r="B6" s="19">
        <v>1320</v>
      </c>
      <c r="C6" s="6">
        <v>779</v>
      </c>
    </row>
    <row r="7" spans="1:5" x14ac:dyDescent="0.3">
      <c r="A7" s="4" t="s">
        <v>5</v>
      </c>
      <c r="B7" s="32">
        <v>501</v>
      </c>
      <c r="C7" s="5">
        <v>116</v>
      </c>
    </row>
    <row r="8" spans="1:5" s="15" customFormat="1" x14ac:dyDescent="0.3">
      <c r="A8" s="14" t="s">
        <v>6</v>
      </c>
      <c r="B8" s="6">
        <v>74</v>
      </c>
      <c r="C8" s="6">
        <v>21</v>
      </c>
    </row>
    <row r="9" spans="1:5" x14ac:dyDescent="0.3">
      <c r="A9" s="4" t="s">
        <v>7</v>
      </c>
      <c r="B9" s="5">
        <v>11</v>
      </c>
      <c r="C9" s="5">
        <v>3</v>
      </c>
    </row>
    <row r="10" spans="1:5" x14ac:dyDescent="0.3">
      <c r="A10" s="4" t="s">
        <v>8</v>
      </c>
      <c r="B10" s="5">
        <v>258</v>
      </c>
      <c r="C10" s="5">
        <v>71</v>
      </c>
    </row>
    <row r="11" spans="1:5" x14ac:dyDescent="0.3">
      <c r="A11" s="4" t="s">
        <v>9</v>
      </c>
      <c r="B11" s="5">
        <v>0</v>
      </c>
      <c r="C11" s="5">
        <v>0</v>
      </c>
    </row>
    <row r="12" spans="1:5" x14ac:dyDescent="0.3">
      <c r="A12" s="4" t="s">
        <v>10</v>
      </c>
      <c r="B12" s="5">
        <v>113</v>
      </c>
      <c r="C12" s="5">
        <v>24</v>
      </c>
    </row>
    <row r="13" spans="1:5" x14ac:dyDescent="0.3">
      <c r="A13" s="4" t="s">
        <v>11</v>
      </c>
      <c r="B13" s="5">
        <v>1</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P24"/>
  <sheetViews>
    <sheetView zoomScale="110" zoomScaleNormal="130" workbookViewId="0">
      <selection activeCell="C13" sqref="C13"/>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200</v>
      </c>
      <c r="B1" s="44"/>
      <c r="C1" s="44"/>
      <c r="D1" s="44"/>
      <c r="E1" s="2"/>
    </row>
    <row r="2" spans="1:5" x14ac:dyDescent="0.3">
      <c r="B2" s="9" t="s">
        <v>1</v>
      </c>
      <c r="C2" s="10" t="s">
        <v>0</v>
      </c>
    </row>
    <row r="3" spans="1:5" ht="15" thickBot="1" x14ac:dyDescent="0.35">
      <c r="B3" s="20">
        <f>SUM(B4,B5,B6,B7,B8,B9,B10,B11,B12,B13,B16,B15,B14)</f>
        <v>3691</v>
      </c>
      <c r="C3" s="12">
        <f>SUM(C4,C5,C6,C7,C8,C9,,C10,C11,C12,C13,C16,C15,C14)</f>
        <v>1344</v>
      </c>
    </row>
    <row r="4" spans="1:5" s="5" customFormat="1" x14ac:dyDescent="0.3">
      <c r="A4" s="4" t="s">
        <v>2</v>
      </c>
      <c r="B4" s="5">
        <v>413</v>
      </c>
      <c r="C4" s="5">
        <v>141</v>
      </c>
    </row>
    <row r="5" spans="1:5" x14ac:dyDescent="0.3">
      <c r="A5" s="4" t="s">
        <v>3</v>
      </c>
      <c r="B5" s="30">
        <v>722</v>
      </c>
      <c r="C5" s="30">
        <v>177</v>
      </c>
    </row>
    <row r="6" spans="1:5" x14ac:dyDescent="0.3">
      <c r="A6" s="4" t="s">
        <v>4</v>
      </c>
      <c r="B6" s="19">
        <v>1582</v>
      </c>
      <c r="C6" s="6">
        <v>777</v>
      </c>
    </row>
    <row r="7" spans="1:5" x14ac:dyDescent="0.3">
      <c r="A7" s="4" t="s">
        <v>5</v>
      </c>
      <c r="B7" s="32">
        <v>530</v>
      </c>
      <c r="C7" s="5">
        <v>123</v>
      </c>
    </row>
    <row r="8" spans="1:5" s="15" customFormat="1" x14ac:dyDescent="0.3">
      <c r="A8" s="14" t="s">
        <v>6</v>
      </c>
      <c r="B8" s="6">
        <v>68</v>
      </c>
      <c r="C8" s="6">
        <v>21</v>
      </c>
    </row>
    <row r="9" spans="1:5" x14ac:dyDescent="0.3">
      <c r="A9" s="4" t="s">
        <v>7</v>
      </c>
      <c r="B9" s="5">
        <v>10</v>
      </c>
      <c r="C9" s="5">
        <v>3</v>
      </c>
    </row>
    <row r="10" spans="1:5" x14ac:dyDescent="0.3">
      <c r="A10" s="4" t="s">
        <v>8</v>
      </c>
      <c r="B10" s="5">
        <v>239</v>
      </c>
      <c r="C10" s="5">
        <v>67</v>
      </c>
    </row>
    <row r="11" spans="1:5" x14ac:dyDescent="0.3">
      <c r="A11" s="4" t="s">
        <v>9</v>
      </c>
      <c r="B11" s="5">
        <v>0</v>
      </c>
      <c r="C11" s="5">
        <v>0</v>
      </c>
    </row>
    <row r="12" spans="1:5" x14ac:dyDescent="0.3">
      <c r="A12" s="4" t="s">
        <v>10</v>
      </c>
      <c r="B12" s="5">
        <v>126</v>
      </c>
      <c r="C12" s="5">
        <v>35</v>
      </c>
    </row>
    <row r="13" spans="1:5" x14ac:dyDescent="0.3">
      <c r="A13" s="4" t="s">
        <v>11</v>
      </c>
      <c r="B13" s="5">
        <v>1</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P24"/>
  <sheetViews>
    <sheetView zoomScale="110" zoomScaleNormal="130" workbookViewId="0">
      <selection activeCell="D11" sqref="D10:D11"/>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199</v>
      </c>
      <c r="B1" s="44"/>
      <c r="C1" s="44"/>
      <c r="D1" s="44"/>
      <c r="E1" s="2"/>
    </row>
    <row r="2" spans="1:5" x14ac:dyDescent="0.3">
      <c r="B2" s="9" t="s">
        <v>1</v>
      </c>
      <c r="C2" s="10" t="s">
        <v>0</v>
      </c>
    </row>
    <row r="3" spans="1:5" ht="15" thickBot="1" x14ac:dyDescent="0.35">
      <c r="B3" s="20">
        <f>SUM(B4,B5,B6,B7,B8,B9,B10,B11,B12,B13,B16,B15,B14)</f>
        <v>3750</v>
      </c>
      <c r="C3" s="12">
        <f>SUM(C4,C5,C6,C7,C8,C9,,C10,C11,C12,C13,C16,C15,C14)</f>
        <v>1327</v>
      </c>
    </row>
    <row r="4" spans="1:5" s="5" customFormat="1" x14ac:dyDescent="0.3">
      <c r="A4" s="4" t="s">
        <v>2</v>
      </c>
      <c r="B4" s="5">
        <v>426</v>
      </c>
      <c r="C4" s="5">
        <v>144</v>
      </c>
    </row>
    <row r="5" spans="1:5" x14ac:dyDescent="0.3">
      <c r="A5" s="4" t="s">
        <v>3</v>
      </c>
      <c r="B5" s="30">
        <v>705</v>
      </c>
      <c r="C5" s="30">
        <v>163</v>
      </c>
    </row>
    <row r="6" spans="1:5" x14ac:dyDescent="0.3">
      <c r="A6" s="4" t="s">
        <v>4</v>
      </c>
      <c r="B6" s="19">
        <v>1673</v>
      </c>
      <c r="C6" s="6">
        <v>776</v>
      </c>
    </row>
    <row r="7" spans="1:5" x14ac:dyDescent="0.3">
      <c r="A7" s="4" t="s">
        <v>5</v>
      </c>
      <c r="B7" s="32">
        <v>530</v>
      </c>
      <c r="C7" s="5">
        <v>126</v>
      </c>
    </row>
    <row r="8" spans="1:5" s="15" customFormat="1" x14ac:dyDescent="0.3">
      <c r="A8" s="14" t="s">
        <v>6</v>
      </c>
      <c r="B8" s="6">
        <v>59</v>
      </c>
      <c r="C8" s="6">
        <v>14</v>
      </c>
    </row>
    <row r="9" spans="1:5" x14ac:dyDescent="0.3">
      <c r="A9" s="4" t="s">
        <v>7</v>
      </c>
      <c r="B9" s="5">
        <v>11</v>
      </c>
      <c r="C9" s="5">
        <v>4</v>
      </c>
    </row>
    <row r="10" spans="1:5" x14ac:dyDescent="0.3">
      <c r="A10" s="4" t="s">
        <v>8</v>
      </c>
      <c r="B10" s="5">
        <v>221</v>
      </c>
      <c r="C10" s="5">
        <v>62</v>
      </c>
    </row>
    <row r="11" spans="1:5" x14ac:dyDescent="0.3">
      <c r="A11" s="4" t="s">
        <v>9</v>
      </c>
      <c r="B11" s="5">
        <v>0</v>
      </c>
      <c r="C11" s="5">
        <v>0</v>
      </c>
    </row>
    <row r="12" spans="1:5" x14ac:dyDescent="0.3">
      <c r="A12" s="4" t="s">
        <v>10</v>
      </c>
      <c r="B12" s="5">
        <v>124</v>
      </c>
      <c r="C12" s="5">
        <v>38</v>
      </c>
    </row>
    <row r="13" spans="1:5" x14ac:dyDescent="0.3">
      <c r="A13" s="4" t="s">
        <v>11</v>
      </c>
      <c r="B13" s="5">
        <v>1</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26"/>
  <sheetViews>
    <sheetView zoomScaleNormal="100" workbookViewId="0">
      <selection activeCell="A23" sqref="A23"/>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472</v>
      </c>
      <c r="B1" s="44"/>
      <c r="C1" s="44"/>
      <c r="D1" s="44"/>
      <c r="E1" s="2"/>
    </row>
    <row r="2" spans="1:5" x14ac:dyDescent="0.3">
      <c r="B2" s="9" t="s">
        <v>1</v>
      </c>
      <c r="C2" s="10" t="s">
        <v>0</v>
      </c>
    </row>
    <row r="3" spans="1:5" ht="15" thickBot="1" x14ac:dyDescent="0.35">
      <c r="B3" s="20">
        <f>SUM(B4,B5,B6,B7,B8,B9,B10,B11,B12,B13,B16,B15,B14)</f>
        <v>5064</v>
      </c>
      <c r="C3" s="12">
        <f>SUM(C4,C5,C6,C7,C8,C9,,C10,C11,C12,C13,C16,C15,C14)</f>
        <v>354</v>
      </c>
    </row>
    <row r="4" spans="1:5" s="5" customFormat="1" x14ac:dyDescent="0.3">
      <c r="A4" s="4" t="s">
        <v>2</v>
      </c>
      <c r="B4" s="18">
        <v>540</v>
      </c>
      <c r="C4" s="5">
        <v>49</v>
      </c>
    </row>
    <row r="5" spans="1:5" x14ac:dyDescent="0.3">
      <c r="A5" s="4" t="s">
        <v>3</v>
      </c>
      <c r="B5" s="30">
        <v>1165</v>
      </c>
      <c r="C5" s="30">
        <v>42</v>
      </c>
      <c r="D5" s="5"/>
    </row>
    <row r="6" spans="1:5" x14ac:dyDescent="0.3">
      <c r="A6" s="4" t="s">
        <v>4</v>
      </c>
      <c r="B6" s="19">
        <v>1165</v>
      </c>
      <c r="C6" s="6">
        <v>163</v>
      </c>
      <c r="D6" s="5"/>
    </row>
    <row r="7" spans="1:5" x14ac:dyDescent="0.3">
      <c r="A7" s="4" t="s">
        <v>5</v>
      </c>
      <c r="B7" s="32">
        <v>1562</v>
      </c>
      <c r="C7" s="5">
        <v>53</v>
      </c>
      <c r="D7" s="5"/>
    </row>
    <row r="8" spans="1:5" s="15" customFormat="1" x14ac:dyDescent="0.3">
      <c r="A8" s="14" t="s">
        <v>6</v>
      </c>
      <c r="B8" s="6">
        <v>43</v>
      </c>
      <c r="C8" s="6">
        <v>8</v>
      </c>
      <c r="D8" s="5"/>
    </row>
    <row r="9" spans="1:5" x14ac:dyDescent="0.3">
      <c r="A9" s="4" t="s">
        <v>7</v>
      </c>
      <c r="B9" s="5">
        <v>121</v>
      </c>
      <c r="C9" s="5">
        <v>6</v>
      </c>
      <c r="D9" s="5"/>
    </row>
    <row r="10" spans="1:5" x14ac:dyDescent="0.3">
      <c r="A10" s="4" t="s">
        <v>8</v>
      </c>
      <c r="B10" s="5">
        <v>149</v>
      </c>
      <c r="C10" s="5">
        <v>16</v>
      </c>
      <c r="D10" s="5"/>
    </row>
    <row r="11" spans="1:5" x14ac:dyDescent="0.3">
      <c r="A11" s="4" t="s">
        <v>9</v>
      </c>
      <c r="B11" s="5">
        <v>22</v>
      </c>
      <c r="C11" s="5">
        <v>0</v>
      </c>
      <c r="D11" s="5"/>
    </row>
    <row r="12" spans="1:5" x14ac:dyDescent="0.3">
      <c r="A12" s="4" t="s">
        <v>10</v>
      </c>
      <c r="B12" s="5">
        <v>270</v>
      </c>
      <c r="C12" s="5">
        <v>14</v>
      </c>
      <c r="D12" s="5"/>
    </row>
    <row r="13" spans="1:5" x14ac:dyDescent="0.3">
      <c r="A13" s="4" t="s">
        <v>11</v>
      </c>
      <c r="B13" s="5">
        <v>14</v>
      </c>
      <c r="C13" s="5">
        <v>2</v>
      </c>
      <c r="D13" s="5"/>
    </row>
    <row r="14" spans="1:5" x14ac:dyDescent="0.3">
      <c r="A14" s="4" t="s">
        <v>12</v>
      </c>
      <c r="B14" s="8">
        <v>8</v>
      </c>
      <c r="C14" s="7">
        <v>1</v>
      </c>
      <c r="D14" s="5"/>
    </row>
    <row r="15" spans="1:5" x14ac:dyDescent="0.3">
      <c r="A15" s="4" t="s">
        <v>13</v>
      </c>
      <c r="B15" s="5">
        <v>5</v>
      </c>
      <c r="C15" s="5">
        <v>0</v>
      </c>
      <c r="D15" s="5" t="s">
        <v>231</v>
      </c>
    </row>
    <row r="16" spans="1:5" x14ac:dyDescent="0.3">
      <c r="A16" s="4" t="s">
        <v>14</v>
      </c>
      <c r="B16" s="5">
        <v>0</v>
      </c>
      <c r="C16" s="5">
        <v>0</v>
      </c>
      <c r="D16" s="5"/>
    </row>
    <row r="17" spans="1:9" x14ac:dyDescent="0.3">
      <c r="B17" s="3"/>
    </row>
    <row r="20" spans="1:9" x14ac:dyDescent="0.3">
      <c r="A20" s="1" t="s">
        <v>122</v>
      </c>
    </row>
    <row r="21" spans="1:9" s="3" customFormat="1" x14ac:dyDescent="0.3">
      <c r="A21" s="33" t="s">
        <v>459</v>
      </c>
      <c r="B21" s="8"/>
    </row>
    <row r="22" spans="1:9" s="3" customFormat="1" x14ac:dyDescent="0.3">
      <c r="A22" s="34" t="s">
        <v>475</v>
      </c>
      <c r="B22" s="8"/>
    </row>
    <row r="23" spans="1:9" s="3" customFormat="1" x14ac:dyDescent="0.3">
      <c r="A23" s="35" t="s">
        <v>471</v>
      </c>
      <c r="B23" s="8"/>
    </row>
    <row r="24" spans="1:9" s="3" customFormat="1" x14ac:dyDescent="0.3">
      <c r="A24" s="33" t="s">
        <v>473</v>
      </c>
      <c r="B24" s="8"/>
    </row>
    <row r="25" spans="1:9" s="3" customFormat="1" x14ac:dyDescent="0.3">
      <c r="A25" s="36" t="s">
        <v>476</v>
      </c>
      <c r="B25" s="8"/>
    </row>
    <row r="26" spans="1:9" s="3" customFormat="1" x14ac:dyDescent="0.3">
      <c r="A26" s="33" t="s">
        <v>474</v>
      </c>
      <c r="B26" s="8"/>
      <c r="I26" s="3" t="s">
        <v>414</v>
      </c>
    </row>
  </sheetData>
  <mergeCells count="1">
    <mergeCell ref="A1:D1"/>
  </mergeCells>
  <hyperlinks>
    <hyperlink ref="A21" r:id="rId1" xr:uid="{00000000-0004-0000-0100-000000000000}"/>
    <hyperlink ref="A22" r:id="rId2" display="**** YT's official website is now informing the number of hospitalizations, which is 2 as of March 7th." xr:uid="{00000000-0004-0000-0100-000001000000}"/>
    <hyperlink ref="A23" r:id="rId3" xr:uid="{00000000-0004-0000-0100-000002000000}"/>
    <hyperlink ref="A24" r:id="rId4" xr:uid="{00000000-0004-0000-0100-000003000000}"/>
    <hyperlink ref="A26" r:id="rId5" xr:uid="{00000000-0004-0000-0100-000004000000}"/>
    <hyperlink ref="A25" r:id="rId6" display="******MB's official website is no longer doing daily reporting. The information was extracted from the latest offical report from May 10th. Note that these are the numbers of new hospitalizations and ICU admissions for the May 1st-7th week. The numbers of" xr:uid="{00000000-0004-0000-0100-000005000000}"/>
  </hyperlinks>
  <pageMargins left="0.7" right="0.7" top="0.75" bottom="0.75" header="0.3" footer="0.3"/>
  <pageSetup orientation="portrait" r:id="rId7"/>
  <drawing r:id="rId8"/>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P24"/>
  <sheetViews>
    <sheetView zoomScale="110" zoomScaleNormal="130" workbookViewId="0">
      <selection activeCell="B25" sqref="B25"/>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198</v>
      </c>
      <c r="B1" s="44"/>
      <c r="C1" s="44"/>
      <c r="D1" s="44"/>
      <c r="E1" s="2"/>
    </row>
    <row r="2" spans="1:5" x14ac:dyDescent="0.3">
      <c r="B2" s="9" t="s">
        <v>1</v>
      </c>
      <c r="C2" s="10" t="s">
        <v>0</v>
      </c>
    </row>
    <row r="3" spans="1:5" ht="15" thickBot="1" x14ac:dyDescent="0.35">
      <c r="B3" s="20">
        <f>SUM(B4,B5,B6,B7,B8,B9,B10,B11,B12,B13,B16,B15,B14)</f>
        <v>3668</v>
      </c>
      <c r="C3" s="12">
        <f>SUM(C4,C5,C6,C7,C8,C9,,C10,C11,C12,C13,C16,C15,C14)</f>
        <v>1365</v>
      </c>
    </row>
    <row r="4" spans="1:5" s="5" customFormat="1" x14ac:dyDescent="0.3">
      <c r="A4" s="4" t="s">
        <v>2</v>
      </c>
      <c r="B4" s="5">
        <v>445</v>
      </c>
      <c r="C4" s="5">
        <v>157</v>
      </c>
    </row>
    <row r="5" spans="1:5" x14ac:dyDescent="0.3">
      <c r="A5" s="4" t="s">
        <v>3</v>
      </c>
      <c r="B5" s="30">
        <v>668</v>
      </c>
      <c r="C5" s="30">
        <v>155</v>
      </c>
    </row>
    <row r="6" spans="1:5" x14ac:dyDescent="0.3">
      <c r="A6" s="4" t="s">
        <v>4</v>
      </c>
      <c r="B6" s="19">
        <v>1632</v>
      </c>
      <c r="C6" s="6">
        <v>828</v>
      </c>
    </row>
    <row r="7" spans="1:5" x14ac:dyDescent="0.3">
      <c r="A7" s="4" t="s">
        <v>5</v>
      </c>
      <c r="B7" s="32">
        <v>543</v>
      </c>
      <c r="C7" s="5">
        <v>123</v>
      </c>
    </row>
    <row r="8" spans="1:5" s="15" customFormat="1" x14ac:dyDescent="0.3">
      <c r="A8" s="14" t="s">
        <v>6</v>
      </c>
      <c r="B8" s="6">
        <v>43</v>
      </c>
      <c r="C8" s="6">
        <v>7</v>
      </c>
    </row>
    <row r="9" spans="1:5" x14ac:dyDescent="0.3">
      <c r="A9" s="4" t="s">
        <v>7</v>
      </c>
      <c r="B9" s="5">
        <v>10</v>
      </c>
      <c r="C9" s="5">
        <v>2</v>
      </c>
    </row>
    <row r="10" spans="1:5" x14ac:dyDescent="0.3">
      <c r="A10" s="4" t="s">
        <v>8</v>
      </c>
      <c r="B10" s="5">
        <v>210</v>
      </c>
      <c r="C10" s="5">
        <v>52</v>
      </c>
    </row>
    <row r="11" spans="1:5" x14ac:dyDescent="0.3">
      <c r="A11" s="4" t="s">
        <v>9</v>
      </c>
      <c r="B11" s="5">
        <v>0</v>
      </c>
      <c r="C11" s="5">
        <v>0</v>
      </c>
    </row>
    <row r="12" spans="1:5" x14ac:dyDescent="0.3">
      <c r="A12" s="4" t="s">
        <v>10</v>
      </c>
      <c r="B12" s="5">
        <v>116</v>
      </c>
      <c r="C12" s="5">
        <v>41</v>
      </c>
    </row>
    <row r="13" spans="1:5" x14ac:dyDescent="0.3">
      <c r="A13" s="4" t="s">
        <v>11</v>
      </c>
      <c r="B13" s="5">
        <v>1</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P24"/>
  <sheetViews>
    <sheetView zoomScale="110" zoomScaleNormal="130" workbookViewId="0">
      <selection activeCell="D15" sqref="D15"/>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197</v>
      </c>
      <c r="B1" s="44"/>
      <c r="C1" s="44"/>
      <c r="D1" s="44"/>
      <c r="E1" s="2"/>
    </row>
    <row r="2" spans="1:5" x14ac:dyDescent="0.3">
      <c r="B2" s="9" t="s">
        <v>1</v>
      </c>
      <c r="C2" s="10" t="s">
        <v>0</v>
      </c>
    </row>
    <row r="3" spans="1:5" ht="15" thickBot="1" x14ac:dyDescent="0.35">
      <c r="B3" s="20">
        <f>SUM(B4,B5,B6,B7,B8,B9,B10,B11,B12,B13,B16,B15,B14)</f>
        <v>3969</v>
      </c>
      <c r="C3" s="12">
        <f>SUM(C4,C5,C6,C7,C8,C9,,C10,C11,C12,C13,C16,C15,C14)</f>
        <v>1331</v>
      </c>
    </row>
    <row r="4" spans="1:5" s="5" customFormat="1" x14ac:dyDescent="0.3">
      <c r="A4" s="4" t="s">
        <v>2</v>
      </c>
      <c r="B4" s="5">
        <v>457</v>
      </c>
      <c r="C4" s="5">
        <v>154</v>
      </c>
    </row>
    <row r="5" spans="1:5" x14ac:dyDescent="0.3">
      <c r="A5" s="4" t="s">
        <v>3</v>
      </c>
      <c r="B5" s="30">
        <v>654</v>
      </c>
      <c r="C5" s="30">
        <v>146</v>
      </c>
    </row>
    <row r="6" spans="1:5" x14ac:dyDescent="0.3">
      <c r="A6" s="4" t="s">
        <v>4</v>
      </c>
      <c r="B6" s="19">
        <v>1924</v>
      </c>
      <c r="C6" s="6">
        <v>788</v>
      </c>
    </row>
    <row r="7" spans="1:5" x14ac:dyDescent="0.3">
      <c r="A7" s="4" t="s">
        <v>5</v>
      </c>
      <c r="B7" s="32">
        <v>575</v>
      </c>
      <c r="C7" s="5">
        <v>139</v>
      </c>
    </row>
    <row r="8" spans="1:5" s="15" customFormat="1" x14ac:dyDescent="0.3">
      <c r="A8" s="14" t="s">
        <v>6</v>
      </c>
      <c r="B8" s="6">
        <v>36</v>
      </c>
      <c r="C8" s="6">
        <v>9</v>
      </c>
    </row>
    <row r="9" spans="1:5" x14ac:dyDescent="0.3">
      <c r="A9" s="4" t="s">
        <v>7</v>
      </c>
      <c r="B9" s="5">
        <v>6</v>
      </c>
      <c r="C9" s="5">
        <v>2</v>
      </c>
    </row>
    <row r="10" spans="1:5" x14ac:dyDescent="0.3">
      <c r="A10" s="4" t="s">
        <v>8</v>
      </c>
      <c r="B10" s="5">
        <v>185</v>
      </c>
      <c r="C10" s="5">
        <v>52</v>
      </c>
    </row>
    <row r="11" spans="1:5" x14ac:dyDescent="0.3">
      <c r="A11" s="4" t="s">
        <v>9</v>
      </c>
      <c r="B11" s="5">
        <v>0</v>
      </c>
      <c r="C11" s="5">
        <v>0</v>
      </c>
    </row>
    <row r="12" spans="1:5" x14ac:dyDescent="0.3">
      <c r="A12" s="4" t="s">
        <v>10</v>
      </c>
      <c r="B12" s="5">
        <v>132</v>
      </c>
      <c r="C12" s="5">
        <v>41</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P24"/>
  <sheetViews>
    <sheetView zoomScale="110" zoomScaleNormal="130" workbookViewId="0">
      <selection activeCell="D7" sqref="D7"/>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196</v>
      </c>
      <c r="B1" s="44"/>
      <c r="C1" s="44"/>
      <c r="D1" s="44"/>
      <c r="E1" s="2"/>
    </row>
    <row r="2" spans="1:5" x14ac:dyDescent="0.3">
      <c r="B2" s="9" t="s">
        <v>1</v>
      </c>
      <c r="C2" s="10" t="s">
        <v>0</v>
      </c>
    </row>
    <row r="3" spans="1:5" ht="15" thickBot="1" x14ac:dyDescent="0.35">
      <c r="B3" s="20">
        <f>SUM(B4,B5,B6,B7,B8,B9,B10,B11,B12,B13,B16,B15,B14)</f>
        <v>4174</v>
      </c>
      <c r="C3" s="12">
        <f>SUM(C4,C5,C6,C7,C8,C9,,C10,C11,C12,C13,C16,C15,C14)</f>
        <v>1455</v>
      </c>
    </row>
    <row r="4" spans="1:5" s="5" customFormat="1" x14ac:dyDescent="0.3">
      <c r="A4" s="4" t="s">
        <v>2</v>
      </c>
      <c r="B4" s="5">
        <v>486</v>
      </c>
      <c r="C4" s="5">
        <v>173</v>
      </c>
    </row>
    <row r="5" spans="1:5" x14ac:dyDescent="0.3">
      <c r="A5" s="4" t="s">
        <v>3</v>
      </c>
      <c r="B5" s="30">
        <v>671</v>
      </c>
      <c r="C5" s="30">
        <v>150</v>
      </c>
    </row>
    <row r="6" spans="1:5" x14ac:dyDescent="0.3">
      <c r="A6" s="4" t="s">
        <v>4</v>
      </c>
      <c r="B6" s="19">
        <v>2075</v>
      </c>
      <c r="C6" s="6">
        <v>882</v>
      </c>
    </row>
    <row r="7" spans="1:5" x14ac:dyDescent="0.3">
      <c r="A7" s="4" t="s">
        <v>5</v>
      </c>
      <c r="B7" s="32">
        <v>588</v>
      </c>
      <c r="C7" s="5">
        <v>152</v>
      </c>
    </row>
    <row r="8" spans="1:5" s="15" customFormat="1" x14ac:dyDescent="0.3">
      <c r="A8" s="14" t="s">
        <v>6</v>
      </c>
      <c r="B8" s="6">
        <v>29</v>
      </c>
      <c r="C8" s="6">
        <v>8</v>
      </c>
    </row>
    <row r="9" spans="1:5" x14ac:dyDescent="0.3">
      <c r="A9" s="4" t="s">
        <v>7</v>
      </c>
      <c r="B9" s="5">
        <v>6</v>
      </c>
      <c r="C9" s="5">
        <v>2</v>
      </c>
    </row>
    <row r="10" spans="1:5" x14ac:dyDescent="0.3">
      <c r="A10" s="4" t="s">
        <v>8</v>
      </c>
      <c r="B10" s="5">
        <v>184</v>
      </c>
      <c r="C10" s="5">
        <v>47</v>
      </c>
    </row>
    <row r="11" spans="1:5" x14ac:dyDescent="0.3">
      <c r="A11" s="4" t="s">
        <v>9</v>
      </c>
      <c r="B11" s="5">
        <v>0</v>
      </c>
      <c r="C11" s="5">
        <v>0</v>
      </c>
    </row>
    <row r="12" spans="1:5" x14ac:dyDescent="0.3">
      <c r="A12" s="4" t="s">
        <v>10</v>
      </c>
      <c r="B12" s="5">
        <v>133</v>
      </c>
      <c r="C12" s="5">
        <v>41</v>
      </c>
    </row>
    <row r="13" spans="1:5" x14ac:dyDescent="0.3">
      <c r="A13" s="4" t="s">
        <v>11</v>
      </c>
      <c r="B13" s="5">
        <v>2</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P24"/>
  <sheetViews>
    <sheetView zoomScale="110" zoomScaleNormal="130" workbookViewId="0">
      <selection activeCell="D13" sqref="D13"/>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195</v>
      </c>
      <c r="B1" s="44"/>
      <c r="C1" s="44"/>
      <c r="D1" s="44"/>
      <c r="E1" s="2"/>
    </row>
    <row r="2" spans="1:5" x14ac:dyDescent="0.3">
      <c r="B2" s="9" t="s">
        <v>1</v>
      </c>
      <c r="C2" s="10" t="s">
        <v>0</v>
      </c>
    </row>
    <row r="3" spans="1:5" ht="15" thickBot="1" x14ac:dyDescent="0.35">
      <c r="B3" s="20">
        <f>SUM(B4,B5,B6,B7,B8,B9,B10,B11,B12,B13,B16,B15,B14)</f>
        <v>4007</v>
      </c>
      <c r="C3" s="12">
        <f>SUM(C4,C5,C6,C7,C8,C9,,C10,C11,C12,C13,C16,C15,C14)</f>
        <v>1456</v>
      </c>
    </row>
    <row r="4" spans="1:5" s="5" customFormat="1" x14ac:dyDescent="0.3">
      <c r="A4" s="4" t="s">
        <v>2</v>
      </c>
      <c r="B4" s="5">
        <v>511</v>
      </c>
      <c r="C4" s="5">
        <v>174</v>
      </c>
    </row>
    <row r="5" spans="1:5" x14ac:dyDescent="0.3">
      <c r="A5" s="4" t="s">
        <v>3</v>
      </c>
      <c r="B5" s="30">
        <v>648</v>
      </c>
      <c r="C5" s="30">
        <v>155</v>
      </c>
    </row>
    <row r="6" spans="1:5" x14ac:dyDescent="0.3">
      <c r="A6" s="4" t="s">
        <v>4</v>
      </c>
      <c r="B6" s="19">
        <v>1925</v>
      </c>
      <c r="C6" s="6">
        <v>889</v>
      </c>
    </row>
    <row r="7" spans="1:5" x14ac:dyDescent="0.3">
      <c r="A7" s="4" t="s">
        <v>5</v>
      </c>
      <c r="B7" s="32">
        <v>588</v>
      </c>
      <c r="C7" s="5">
        <v>151</v>
      </c>
    </row>
    <row r="8" spans="1:5" s="15" customFormat="1" x14ac:dyDescent="0.3">
      <c r="A8" s="14" t="s">
        <v>6</v>
      </c>
      <c r="B8" s="6">
        <v>34</v>
      </c>
      <c r="C8" s="6">
        <v>6</v>
      </c>
    </row>
    <row r="9" spans="1:5" x14ac:dyDescent="0.3">
      <c r="A9" s="4" t="s">
        <v>7</v>
      </c>
      <c r="B9" s="5">
        <v>4</v>
      </c>
      <c r="C9" s="5">
        <v>2</v>
      </c>
    </row>
    <row r="10" spans="1:5" x14ac:dyDescent="0.3">
      <c r="A10" s="4" t="s">
        <v>8</v>
      </c>
      <c r="B10" s="5">
        <v>167</v>
      </c>
      <c r="C10" s="5">
        <v>40</v>
      </c>
    </row>
    <row r="11" spans="1:5" x14ac:dyDescent="0.3">
      <c r="A11" s="4" t="s">
        <v>9</v>
      </c>
      <c r="B11" s="5">
        <v>0</v>
      </c>
      <c r="C11" s="5">
        <v>0</v>
      </c>
    </row>
    <row r="12" spans="1:5" x14ac:dyDescent="0.3">
      <c r="A12" s="4" t="s">
        <v>10</v>
      </c>
      <c r="B12" s="5">
        <v>128</v>
      </c>
      <c r="C12" s="5">
        <v>39</v>
      </c>
    </row>
    <row r="13" spans="1:5" x14ac:dyDescent="0.3">
      <c r="A13" s="4" t="s">
        <v>11</v>
      </c>
      <c r="B13" s="5">
        <v>2</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P24"/>
  <sheetViews>
    <sheetView zoomScale="110" zoomScaleNormal="130" workbookViewId="0">
      <selection activeCell="D17" sqref="D17"/>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194</v>
      </c>
      <c r="B1" s="44"/>
      <c r="C1" s="44"/>
      <c r="D1" s="44"/>
      <c r="E1" s="2"/>
    </row>
    <row r="2" spans="1:5" x14ac:dyDescent="0.3">
      <c r="B2" s="9" t="s">
        <v>1</v>
      </c>
      <c r="C2" s="10" t="s">
        <v>0</v>
      </c>
    </row>
    <row r="3" spans="1:5" ht="15" thickBot="1" x14ac:dyDescent="0.35">
      <c r="B3" s="20">
        <f>SUM(B4,B5,B6,B7,B8,B9,B10,B11,B12,B13,B16,B15,B14)</f>
        <v>4265</v>
      </c>
      <c r="C3" s="12">
        <f>SUM(C4,C5,C6,C7,C8,C9,,C10,C11,C12,C13,C16,C15,C14)</f>
        <v>1462</v>
      </c>
    </row>
    <row r="4" spans="1:5" s="5" customFormat="1" x14ac:dyDescent="0.3">
      <c r="A4" s="4" t="s">
        <v>2</v>
      </c>
      <c r="B4" s="5">
        <v>503</v>
      </c>
      <c r="C4" s="5">
        <v>178</v>
      </c>
    </row>
    <row r="5" spans="1:5" x14ac:dyDescent="0.3">
      <c r="A5" s="4" t="s">
        <v>3</v>
      </c>
      <c r="B5" s="30">
        <v>632</v>
      </c>
      <c r="C5" s="30">
        <v>151</v>
      </c>
    </row>
    <row r="6" spans="1:5" x14ac:dyDescent="0.3">
      <c r="A6" s="4" t="s">
        <v>4</v>
      </c>
      <c r="B6" s="19">
        <v>2201</v>
      </c>
      <c r="C6" s="6">
        <v>883</v>
      </c>
    </row>
    <row r="7" spans="1:5" x14ac:dyDescent="0.3">
      <c r="A7" s="4" t="s">
        <v>5</v>
      </c>
      <c r="B7" s="32">
        <v>623</v>
      </c>
      <c r="C7" s="5">
        <v>165</v>
      </c>
    </row>
    <row r="8" spans="1:5" s="15" customFormat="1" x14ac:dyDescent="0.3">
      <c r="A8" s="14" t="s">
        <v>6</v>
      </c>
      <c r="B8" s="6">
        <v>10</v>
      </c>
      <c r="C8" s="6">
        <v>4</v>
      </c>
    </row>
    <row r="9" spans="1:5" x14ac:dyDescent="0.3">
      <c r="A9" s="4" t="s">
        <v>7</v>
      </c>
      <c r="B9" s="5">
        <v>4</v>
      </c>
      <c r="C9" s="5">
        <v>2</v>
      </c>
    </row>
    <row r="10" spans="1:5" x14ac:dyDescent="0.3">
      <c r="A10" s="4" t="s">
        <v>8</v>
      </c>
      <c r="B10" s="5">
        <v>142</v>
      </c>
      <c r="C10" s="5">
        <v>41</v>
      </c>
    </row>
    <row r="11" spans="1:5" x14ac:dyDescent="0.3">
      <c r="A11" s="4" t="s">
        <v>9</v>
      </c>
      <c r="B11" s="5">
        <v>0</v>
      </c>
      <c r="C11" s="5">
        <v>0</v>
      </c>
    </row>
    <row r="12" spans="1:5" x14ac:dyDescent="0.3">
      <c r="A12" s="4" t="s">
        <v>10</v>
      </c>
      <c r="B12" s="5">
        <v>148</v>
      </c>
      <c r="C12" s="5">
        <v>38</v>
      </c>
    </row>
    <row r="13" spans="1:5" x14ac:dyDescent="0.3">
      <c r="A13" s="4" t="s">
        <v>11</v>
      </c>
      <c r="B13" s="5">
        <v>2</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P24"/>
  <sheetViews>
    <sheetView zoomScale="110" zoomScaleNormal="130" workbookViewId="0">
      <selection activeCell="C12" sqref="C12"/>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193</v>
      </c>
      <c r="B1" s="44"/>
      <c r="C1" s="44"/>
      <c r="D1" s="44"/>
      <c r="E1" s="2"/>
    </row>
    <row r="2" spans="1:5" x14ac:dyDescent="0.3">
      <c r="B2" s="9" t="s">
        <v>1</v>
      </c>
      <c r="C2" s="10" t="s">
        <v>0</v>
      </c>
    </row>
    <row r="3" spans="1:5" ht="15" thickBot="1" x14ac:dyDescent="0.35">
      <c r="B3" s="20">
        <f>SUM(B4,B5,B6,B7,B8,B9,B10,B11,B12,B13,B16,B15,B14)</f>
        <v>4352</v>
      </c>
      <c r="C3" s="12">
        <f>SUM(C4,C5,C6,C7,C8,C9,,C10,C11,C12,C13,C16,C15,C14)</f>
        <v>1422</v>
      </c>
    </row>
    <row r="4" spans="1:5" s="5" customFormat="1" x14ac:dyDescent="0.3">
      <c r="A4" s="4" t="s">
        <v>2</v>
      </c>
      <c r="B4" s="5">
        <v>500</v>
      </c>
      <c r="C4" s="5">
        <v>164</v>
      </c>
    </row>
    <row r="5" spans="1:5" x14ac:dyDescent="0.3">
      <c r="A5" s="4" t="s">
        <v>3</v>
      </c>
      <c r="B5" s="30">
        <v>635</v>
      </c>
      <c r="C5" s="30">
        <v>143</v>
      </c>
    </row>
    <row r="6" spans="1:5" x14ac:dyDescent="0.3">
      <c r="A6" s="4" t="s">
        <v>4</v>
      </c>
      <c r="B6" s="19">
        <v>2281</v>
      </c>
      <c r="C6" s="6">
        <v>877</v>
      </c>
    </row>
    <row r="7" spans="1:5" x14ac:dyDescent="0.3">
      <c r="A7" s="4" t="s">
        <v>5</v>
      </c>
      <c r="B7" s="32">
        <v>643</v>
      </c>
      <c r="C7" s="5">
        <v>161</v>
      </c>
    </row>
    <row r="8" spans="1:5" s="15" customFormat="1" x14ac:dyDescent="0.3">
      <c r="A8" s="14" t="s">
        <v>6</v>
      </c>
      <c r="B8" s="6">
        <v>8</v>
      </c>
      <c r="C8" s="6">
        <v>3</v>
      </c>
    </row>
    <row r="9" spans="1:5" x14ac:dyDescent="0.3">
      <c r="A9" s="4" t="s">
        <v>7</v>
      </c>
      <c r="B9" s="5">
        <v>6</v>
      </c>
      <c r="C9" s="5">
        <v>2</v>
      </c>
    </row>
    <row r="10" spans="1:5" x14ac:dyDescent="0.3">
      <c r="A10" s="4" t="s">
        <v>8</v>
      </c>
      <c r="B10" s="5">
        <v>134</v>
      </c>
      <c r="C10" s="5">
        <v>30</v>
      </c>
    </row>
    <row r="11" spans="1:5" x14ac:dyDescent="0.3">
      <c r="A11" s="4" t="s">
        <v>9</v>
      </c>
      <c r="B11" s="5">
        <v>0</v>
      </c>
      <c r="C11" s="5">
        <v>0</v>
      </c>
    </row>
    <row r="12" spans="1:5" x14ac:dyDescent="0.3">
      <c r="A12" s="4" t="s">
        <v>10</v>
      </c>
      <c r="B12" s="5">
        <v>144</v>
      </c>
      <c r="C12" s="5">
        <v>42</v>
      </c>
    </row>
    <row r="13" spans="1:5" x14ac:dyDescent="0.3">
      <c r="A13" s="4" t="s">
        <v>11</v>
      </c>
      <c r="B13" s="5">
        <v>1</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P24"/>
  <sheetViews>
    <sheetView zoomScale="110" zoomScaleNormal="130" workbookViewId="0">
      <selection activeCell="B13" sqref="B13"/>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192</v>
      </c>
      <c r="B1" s="44"/>
      <c r="C1" s="44"/>
      <c r="D1" s="44"/>
      <c r="E1" s="2"/>
    </row>
    <row r="2" spans="1:5" x14ac:dyDescent="0.3">
      <c r="B2" s="9" t="s">
        <v>1</v>
      </c>
      <c r="C2" s="10" t="s">
        <v>0</v>
      </c>
    </row>
    <row r="3" spans="1:5" ht="15" thickBot="1" x14ac:dyDescent="0.35">
      <c r="B3" s="20">
        <f>SUM(B4,B5,B6,B7,B8,B9,B10,B11,B12,B13,B16,B15,B14)</f>
        <v>4312</v>
      </c>
      <c r="C3" s="12">
        <f>SUM(C4,C5,C6,C7,C8,C9,,C10,C11,C12,C13,C16,C15,C14)</f>
        <v>1435</v>
      </c>
    </row>
    <row r="4" spans="1:5" s="5" customFormat="1" x14ac:dyDescent="0.3">
      <c r="A4" s="4" t="s">
        <v>2</v>
      </c>
      <c r="B4" s="5">
        <v>486</v>
      </c>
      <c r="C4" s="5">
        <v>160</v>
      </c>
    </row>
    <row r="5" spans="1:5" x14ac:dyDescent="0.3">
      <c r="A5" s="4" t="s">
        <v>3</v>
      </c>
      <c r="B5" s="30">
        <v>594</v>
      </c>
      <c r="C5" s="30">
        <v>140</v>
      </c>
    </row>
    <row r="6" spans="1:5" x14ac:dyDescent="0.3">
      <c r="A6" s="4" t="s">
        <v>4</v>
      </c>
      <c r="B6" s="19">
        <v>2271</v>
      </c>
      <c r="C6" s="6">
        <v>877</v>
      </c>
    </row>
    <row r="7" spans="1:5" x14ac:dyDescent="0.3">
      <c r="A7" s="4" t="s">
        <v>5</v>
      </c>
      <c r="B7" s="32">
        <v>664</v>
      </c>
      <c r="C7" s="5">
        <v>167</v>
      </c>
    </row>
    <row r="8" spans="1:5" s="15" customFormat="1" x14ac:dyDescent="0.3">
      <c r="A8" s="14" t="s">
        <v>6</v>
      </c>
      <c r="B8" s="6">
        <v>3</v>
      </c>
      <c r="C8" s="6">
        <v>2</v>
      </c>
    </row>
    <row r="9" spans="1:5" x14ac:dyDescent="0.3">
      <c r="A9" s="4" t="s">
        <v>7</v>
      </c>
      <c r="B9" s="5">
        <v>8</v>
      </c>
      <c r="C9" s="5">
        <v>3</v>
      </c>
    </row>
    <row r="10" spans="1:5" x14ac:dyDescent="0.3">
      <c r="A10" s="4" t="s">
        <v>8</v>
      </c>
      <c r="B10" s="5">
        <v>148</v>
      </c>
      <c r="C10" s="5">
        <v>37</v>
      </c>
    </row>
    <row r="11" spans="1:5" x14ac:dyDescent="0.3">
      <c r="A11" s="4" t="s">
        <v>9</v>
      </c>
      <c r="B11" s="5">
        <v>0</v>
      </c>
      <c r="C11" s="5">
        <v>0</v>
      </c>
    </row>
    <row r="12" spans="1:5" x14ac:dyDescent="0.3">
      <c r="A12" s="4" t="s">
        <v>10</v>
      </c>
      <c r="B12" s="5">
        <v>137</v>
      </c>
      <c r="C12" s="5">
        <v>49</v>
      </c>
    </row>
    <row r="13" spans="1:5" x14ac:dyDescent="0.3">
      <c r="A13" s="4" t="s">
        <v>11</v>
      </c>
      <c r="B13" s="5">
        <v>1</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P24"/>
  <sheetViews>
    <sheetView zoomScale="110" zoomScaleNormal="130" workbookViewId="0">
      <selection activeCell="C12" sqref="C12"/>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191</v>
      </c>
      <c r="B1" s="44"/>
      <c r="C1" s="44"/>
      <c r="D1" s="44"/>
      <c r="E1" s="2"/>
    </row>
    <row r="2" spans="1:5" x14ac:dyDescent="0.3">
      <c r="B2" s="9" t="s">
        <v>1</v>
      </c>
      <c r="C2" s="10" t="s">
        <v>0</v>
      </c>
    </row>
    <row r="3" spans="1:5" ht="15" thickBot="1" x14ac:dyDescent="0.35">
      <c r="B3" s="20">
        <f>SUM(B4,B5,B6,B7,B8,B9,B10,B11,B12,B13,B16,B15,B14)</f>
        <v>4283</v>
      </c>
      <c r="C3" s="12">
        <f>SUM(C4,C5,C6,C7,C8,C9,,C10,C11,C12,C13,C16,C15,C14)</f>
        <v>1355</v>
      </c>
    </row>
    <row r="4" spans="1:5" s="5" customFormat="1" x14ac:dyDescent="0.3">
      <c r="A4" s="4" t="s">
        <v>2</v>
      </c>
      <c r="B4" s="5">
        <v>502</v>
      </c>
      <c r="C4" s="5">
        <v>161</v>
      </c>
    </row>
    <row r="5" spans="1:5" x14ac:dyDescent="0.3">
      <c r="A5" s="4" t="s">
        <v>3</v>
      </c>
      <c r="B5" s="30">
        <v>518</v>
      </c>
      <c r="C5" s="30">
        <v>116</v>
      </c>
    </row>
    <row r="6" spans="1:5" x14ac:dyDescent="0.3">
      <c r="A6" s="4" t="s">
        <v>4</v>
      </c>
      <c r="B6" s="19">
        <v>2287</v>
      </c>
      <c r="C6" s="6">
        <v>818</v>
      </c>
    </row>
    <row r="7" spans="1:5" x14ac:dyDescent="0.3">
      <c r="A7" s="4" t="s">
        <v>5</v>
      </c>
      <c r="B7" s="32">
        <v>684</v>
      </c>
      <c r="C7" s="5">
        <v>172</v>
      </c>
    </row>
    <row r="8" spans="1:5" s="15" customFormat="1" x14ac:dyDescent="0.3">
      <c r="A8" s="14" t="s">
        <v>6</v>
      </c>
      <c r="B8" s="6">
        <v>3</v>
      </c>
      <c r="C8" s="6">
        <v>0</v>
      </c>
    </row>
    <row r="9" spans="1:5" x14ac:dyDescent="0.3">
      <c r="A9" s="4" t="s">
        <v>7</v>
      </c>
      <c r="B9" s="5">
        <v>15</v>
      </c>
      <c r="C9" s="5">
        <v>5</v>
      </c>
    </row>
    <row r="10" spans="1:5" x14ac:dyDescent="0.3">
      <c r="A10" s="4" t="s">
        <v>8</v>
      </c>
      <c r="B10" s="5">
        <v>145</v>
      </c>
      <c r="C10" s="5">
        <v>35</v>
      </c>
    </row>
    <row r="11" spans="1:5" x14ac:dyDescent="0.3">
      <c r="A11" s="4" t="s">
        <v>9</v>
      </c>
      <c r="B11" s="5">
        <v>0</v>
      </c>
      <c r="C11" s="5">
        <v>0</v>
      </c>
    </row>
    <row r="12" spans="1:5" x14ac:dyDescent="0.3">
      <c r="A12" s="4" t="s">
        <v>10</v>
      </c>
      <c r="B12" s="5">
        <v>129</v>
      </c>
      <c r="C12" s="5">
        <v>48</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P24"/>
  <sheetViews>
    <sheetView zoomScale="110" zoomScaleNormal="130" workbookViewId="0">
      <selection activeCell="C23" sqref="C23"/>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189</v>
      </c>
      <c r="B1" s="44"/>
      <c r="C1" s="44"/>
      <c r="D1" s="44"/>
      <c r="E1" s="2"/>
    </row>
    <row r="2" spans="1:5" x14ac:dyDescent="0.3">
      <c r="B2" s="9" t="s">
        <v>1</v>
      </c>
      <c r="C2" s="10" t="s">
        <v>0</v>
      </c>
    </row>
    <row r="3" spans="1:5" ht="15" thickBot="1" x14ac:dyDescent="0.35">
      <c r="B3" s="20">
        <f>SUM(B4,B5,B6,B7,B8,B9,B10,B11,B12,B13,B16,B15,B14)</f>
        <v>4260</v>
      </c>
      <c r="C3" s="12">
        <f>SUM(C4,C5,C6,C7,C8,C9,,C10,C11,C12,C13,C16,C15,C14)</f>
        <v>1312</v>
      </c>
    </row>
    <row r="4" spans="1:5" s="5" customFormat="1" x14ac:dyDescent="0.3">
      <c r="A4" s="4" t="s">
        <v>2</v>
      </c>
      <c r="B4" s="5">
        <v>456</v>
      </c>
      <c r="C4" s="5">
        <v>148</v>
      </c>
    </row>
    <row r="5" spans="1:5" x14ac:dyDescent="0.3">
      <c r="A5" s="4" t="s">
        <v>3</v>
      </c>
      <c r="B5" s="30">
        <v>476</v>
      </c>
      <c r="C5" s="30">
        <v>105</v>
      </c>
    </row>
    <row r="6" spans="1:5" x14ac:dyDescent="0.3">
      <c r="A6" s="4" t="s">
        <v>4</v>
      </c>
      <c r="B6" s="19">
        <v>2335</v>
      </c>
      <c r="C6" s="6">
        <v>790</v>
      </c>
    </row>
    <row r="7" spans="1:5" x14ac:dyDescent="0.3">
      <c r="A7" s="4" t="s">
        <v>5</v>
      </c>
      <c r="B7" s="32">
        <v>694</v>
      </c>
      <c r="C7" s="5">
        <v>177</v>
      </c>
    </row>
    <row r="8" spans="1:5" s="15" customFormat="1" x14ac:dyDescent="0.3">
      <c r="A8" s="14" t="s">
        <v>6</v>
      </c>
      <c r="B8" s="6">
        <v>2</v>
      </c>
      <c r="C8" s="6">
        <v>0</v>
      </c>
    </row>
    <row r="9" spans="1:5" x14ac:dyDescent="0.3">
      <c r="A9" s="4" t="s">
        <v>7</v>
      </c>
      <c r="B9" s="5">
        <v>21</v>
      </c>
      <c r="C9" s="5">
        <v>8</v>
      </c>
    </row>
    <row r="10" spans="1:5" x14ac:dyDescent="0.3">
      <c r="A10" s="4" t="s">
        <v>8</v>
      </c>
      <c r="B10" s="5">
        <v>132</v>
      </c>
      <c r="C10" s="5">
        <v>33</v>
      </c>
    </row>
    <row r="11" spans="1:5" x14ac:dyDescent="0.3">
      <c r="A11" s="4" t="s">
        <v>9</v>
      </c>
      <c r="B11" s="5">
        <v>0</v>
      </c>
      <c r="C11" s="5">
        <v>0</v>
      </c>
    </row>
    <row r="12" spans="1:5" x14ac:dyDescent="0.3">
      <c r="A12" s="4" t="s">
        <v>10</v>
      </c>
      <c r="B12" s="5">
        <v>144</v>
      </c>
      <c r="C12" s="5">
        <v>51</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P24"/>
  <sheetViews>
    <sheetView zoomScale="110" zoomScaleNormal="130" workbookViewId="0">
      <selection sqref="A1:D1"/>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190</v>
      </c>
      <c r="B1" s="44"/>
      <c r="C1" s="44"/>
      <c r="D1" s="44"/>
      <c r="E1" s="2"/>
    </row>
    <row r="2" spans="1:5" x14ac:dyDescent="0.3">
      <c r="B2" s="9" t="s">
        <v>1</v>
      </c>
      <c r="C2" s="10" t="s">
        <v>0</v>
      </c>
    </row>
    <row r="3" spans="1:5" ht="15" thickBot="1" x14ac:dyDescent="0.35">
      <c r="B3" s="20">
        <f>SUM(B4,B5,B6,B7,B8,B9,B10,B11,B12,B13,B16,B15,B14)</f>
        <v>4062</v>
      </c>
      <c r="C3" s="12">
        <f>SUM(C4,C5,C6,C7,C8,C9,,C10,C11,C12,C13,C16,C15,C14)</f>
        <v>1258</v>
      </c>
    </row>
    <row r="4" spans="1:5" s="5" customFormat="1" x14ac:dyDescent="0.3">
      <c r="A4" s="4" t="s">
        <v>2</v>
      </c>
      <c r="B4" s="5">
        <v>425</v>
      </c>
      <c r="C4" s="5">
        <v>127</v>
      </c>
    </row>
    <row r="5" spans="1:5" x14ac:dyDescent="0.3">
      <c r="A5" s="4" t="s">
        <v>3</v>
      </c>
      <c r="B5" s="30">
        <v>451</v>
      </c>
      <c r="C5" s="30">
        <v>103</v>
      </c>
    </row>
    <row r="6" spans="1:5" x14ac:dyDescent="0.3">
      <c r="A6" s="4" t="s">
        <v>4</v>
      </c>
      <c r="B6" s="19">
        <v>2202</v>
      </c>
      <c r="C6" s="6">
        <v>755</v>
      </c>
    </row>
    <row r="7" spans="1:5" x14ac:dyDescent="0.3">
      <c r="A7" s="4" t="s">
        <v>5</v>
      </c>
      <c r="B7" s="32">
        <v>686</v>
      </c>
      <c r="C7" s="5">
        <v>183</v>
      </c>
    </row>
    <row r="8" spans="1:5" s="15" customFormat="1" x14ac:dyDescent="0.3">
      <c r="A8" s="14" t="s">
        <v>6</v>
      </c>
      <c r="B8" s="6">
        <v>2</v>
      </c>
      <c r="C8" s="6">
        <v>0</v>
      </c>
    </row>
    <row r="9" spans="1:5" x14ac:dyDescent="0.3">
      <c r="A9" s="4" t="s">
        <v>7</v>
      </c>
      <c r="B9" s="5">
        <v>20</v>
      </c>
      <c r="C9" s="5">
        <v>12</v>
      </c>
    </row>
    <row r="10" spans="1:5" x14ac:dyDescent="0.3">
      <c r="A10" s="4" t="s">
        <v>8</v>
      </c>
      <c r="B10" s="5">
        <v>132</v>
      </c>
      <c r="C10" s="5">
        <v>33</v>
      </c>
    </row>
    <row r="11" spans="1:5" x14ac:dyDescent="0.3">
      <c r="A11" s="4" t="s">
        <v>9</v>
      </c>
      <c r="B11" s="5">
        <v>0</v>
      </c>
      <c r="C11" s="5">
        <v>0</v>
      </c>
    </row>
    <row r="12" spans="1:5" x14ac:dyDescent="0.3">
      <c r="A12" s="4" t="s">
        <v>10</v>
      </c>
      <c r="B12" s="5">
        <v>144</v>
      </c>
      <c r="C12" s="5">
        <v>45</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6"/>
  <sheetViews>
    <sheetView zoomScaleNormal="100" workbookViewId="0">
      <selection activeCell="A26" sqref="A26"/>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466</v>
      </c>
      <c r="B1" s="44"/>
      <c r="C1" s="44"/>
      <c r="D1" s="44"/>
      <c r="E1" s="2"/>
    </row>
    <row r="2" spans="1:5" x14ac:dyDescent="0.3">
      <c r="B2" s="9" t="s">
        <v>1</v>
      </c>
      <c r="C2" s="10" t="s">
        <v>0</v>
      </c>
    </row>
    <row r="3" spans="1:5" ht="15" thickBot="1" x14ac:dyDescent="0.35">
      <c r="B3" s="20">
        <f>SUM(B4,B5,B6,B7,B8,B9,B10,B11,B12,B13,B16,B15,B14)</f>
        <v>5739</v>
      </c>
      <c r="C3" s="12">
        <f>SUM(C4,C5,C6,C7,C8,C9,,C10,C11,C12,C13,C16,C15,C14)</f>
        <v>370</v>
      </c>
    </row>
    <row r="4" spans="1:5" s="5" customFormat="1" x14ac:dyDescent="0.3">
      <c r="A4" s="4" t="s">
        <v>2</v>
      </c>
      <c r="B4" s="18">
        <v>596</v>
      </c>
      <c r="C4" s="5">
        <v>54</v>
      </c>
    </row>
    <row r="5" spans="1:5" x14ac:dyDescent="0.3">
      <c r="A5" s="4" t="s">
        <v>3</v>
      </c>
      <c r="B5" s="30">
        <v>1225</v>
      </c>
      <c r="C5" s="30">
        <v>37</v>
      </c>
      <c r="D5" s="5"/>
    </row>
    <row r="6" spans="1:5" x14ac:dyDescent="0.3">
      <c r="A6" s="4" t="s">
        <v>4</v>
      </c>
      <c r="B6" s="19">
        <v>1453</v>
      </c>
      <c r="C6" s="6">
        <v>168</v>
      </c>
      <c r="D6" s="5"/>
    </row>
    <row r="7" spans="1:5" x14ac:dyDescent="0.3">
      <c r="A7" s="4" t="s">
        <v>5</v>
      </c>
      <c r="B7" s="32">
        <v>1754</v>
      </c>
      <c r="C7" s="5">
        <v>59</v>
      </c>
      <c r="D7" s="5"/>
    </row>
    <row r="8" spans="1:5" s="15" customFormat="1" x14ac:dyDescent="0.3">
      <c r="A8" s="14" t="s">
        <v>6</v>
      </c>
      <c r="B8" s="6">
        <v>58</v>
      </c>
      <c r="C8" s="6">
        <v>9</v>
      </c>
      <c r="D8" s="5"/>
    </row>
    <row r="9" spans="1:5" x14ac:dyDescent="0.3">
      <c r="A9" s="4" t="s">
        <v>7</v>
      </c>
      <c r="B9" s="5">
        <v>102</v>
      </c>
      <c r="C9" s="5">
        <v>12</v>
      </c>
      <c r="D9" s="5"/>
    </row>
    <row r="10" spans="1:5" x14ac:dyDescent="0.3">
      <c r="A10" s="4" t="s">
        <v>8</v>
      </c>
      <c r="B10" s="5">
        <v>196</v>
      </c>
      <c r="C10" s="5">
        <v>13</v>
      </c>
      <c r="D10" s="5"/>
    </row>
    <row r="11" spans="1:5" x14ac:dyDescent="0.3">
      <c r="A11" s="4" t="s">
        <v>9</v>
      </c>
      <c r="B11" s="5">
        <v>12</v>
      </c>
      <c r="C11" s="5">
        <v>0</v>
      </c>
      <c r="D11" s="5"/>
    </row>
    <row r="12" spans="1:5" x14ac:dyDescent="0.3">
      <c r="A12" s="4" t="s">
        <v>10</v>
      </c>
      <c r="B12" s="5">
        <v>321</v>
      </c>
      <c r="C12" s="5">
        <v>16</v>
      </c>
      <c r="D12" s="5"/>
    </row>
    <row r="13" spans="1:5" x14ac:dyDescent="0.3">
      <c r="A13" s="4" t="s">
        <v>11</v>
      </c>
      <c r="B13" s="5">
        <v>8</v>
      </c>
      <c r="C13" s="5">
        <v>1</v>
      </c>
      <c r="D13" s="5"/>
    </row>
    <row r="14" spans="1:5" x14ac:dyDescent="0.3">
      <c r="A14" s="4" t="s">
        <v>12</v>
      </c>
      <c r="B14" s="8">
        <v>8</v>
      </c>
      <c r="C14" s="7">
        <v>1</v>
      </c>
      <c r="D14" s="5"/>
    </row>
    <row r="15" spans="1:5" x14ac:dyDescent="0.3">
      <c r="A15" s="4" t="s">
        <v>13</v>
      </c>
      <c r="B15" s="5">
        <v>6</v>
      </c>
      <c r="C15" s="5">
        <v>0</v>
      </c>
      <c r="D15" s="5" t="s">
        <v>231</v>
      </c>
    </row>
    <row r="16" spans="1:5" x14ac:dyDescent="0.3">
      <c r="A16" s="4" t="s">
        <v>14</v>
      </c>
      <c r="B16" s="5">
        <v>0</v>
      </c>
      <c r="C16" s="5">
        <v>0</v>
      </c>
      <c r="D16" s="5"/>
    </row>
    <row r="17" spans="1:9" x14ac:dyDescent="0.3">
      <c r="B17" s="3"/>
    </row>
    <row r="20" spans="1:9" x14ac:dyDescent="0.3">
      <c r="A20" s="1" t="s">
        <v>122</v>
      </c>
    </row>
    <row r="21" spans="1:9" s="3" customFormat="1" x14ac:dyDescent="0.3">
      <c r="A21" s="33" t="s">
        <v>459</v>
      </c>
      <c r="B21" s="8"/>
    </row>
    <row r="22" spans="1:9" s="3" customFormat="1" x14ac:dyDescent="0.3">
      <c r="A22" s="34" t="s">
        <v>470</v>
      </c>
      <c r="B22" s="8"/>
    </row>
    <row r="23" spans="1:9" s="3" customFormat="1" x14ac:dyDescent="0.3">
      <c r="A23" s="35" t="s">
        <v>471</v>
      </c>
      <c r="B23" s="8"/>
    </row>
    <row r="24" spans="1:9" s="3" customFormat="1" x14ac:dyDescent="0.3">
      <c r="A24" s="33" t="s">
        <v>467</v>
      </c>
      <c r="B24" s="8"/>
    </row>
    <row r="25" spans="1:9" s="3" customFormat="1" x14ac:dyDescent="0.3">
      <c r="A25" s="36" t="s">
        <v>468</v>
      </c>
      <c r="B25" s="8"/>
    </row>
    <row r="26" spans="1:9" s="3" customFormat="1" x14ac:dyDescent="0.3">
      <c r="A26" s="33" t="s">
        <v>469</v>
      </c>
      <c r="B26" s="8"/>
      <c r="I26" s="3" t="s">
        <v>414</v>
      </c>
    </row>
  </sheetData>
  <mergeCells count="1">
    <mergeCell ref="A1:D1"/>
  </mergeCells>
  <hyperlinks>
    <hyperlink ref="A21" r:id="rId1" xr:uid="{00000000-0004-0000-0200-000000000000}"/>
    <hyperlink ref="A22" r:id="rId2" display="**** YT's official website is now informing the number of hospitalizations, which is 2 as of March 7th." xr:uid="{00000000-0004-0000-0200-000001000000}"/>
    <hyperlink ref="A23" r:id="rId3" xr:uid="{00000000-0004-0000-0200-000002000000}"/>
    <hyperlink ref="A24" r:id="rId4" xr:uid="{00000000-0004-0000-0200-000003000000}"/>
    <hyperlink ref="A26" r:id="rId5" xr:uid="{00000000-0004-0000-0200-000004000000}"/>
    <hyperlink ref="A25" r:id="rId6" xr:uid="{00000000-0004-0000-0200-000005000000}"/>
  </hyperlinks>
  <pageMargins left="0.7" right="0.7" top="0.75" bottom="0.75" header="0.3" footer="0.3"/>
  <pageSetup orientation="portrait" r:id="rId7"/>
  <drawing r:id="rId8"/>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P24"/>
  <sheetViews>
    <sheetView zoomScale="110" zoomScaleNormal="130" workbookViewId="0">
      <selection activeCell="D17" sqref="D17"/>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188</v>
      </c>
      <c r="B1" s="44"/>
      <c r="C1" s="44"/>
      <c r="D1" s="44"/>
      <c r="E1" s="2"/>
    </row>
    <row r="2" spans="1:5" x14ac:dyDescent="0.3">
      <c r="B2" s="9" t="s">
        <v>1</v>
      </c>
      <c r="C2" s="10" t="s">
        <v>0</v>
      </c>
    </row>
    <row r="3" spans="1:5" ht="15" thickBot="1" x14ac:dyDescent="0.35">
      <c r="B3" s="20">
        <f>SUM(B4,B5,B6,B7,B8,B9,B10,B11,B12,B13,B16,B15,B14)</f>
        <v>3751</v>
      </c>
      <c r="C3" s="12">
        <f>SUM(C4,C5,C6,C7,C8,C9,,C10,C11,C12,C13,C16,C15,C14)</f>
        <v>1167</v>
      </c>
    </row>
    <row r="4" spans="1:5" s="5" customFormat="1" x14ac:dyDescent="0.3">
      <c r="A4" s="4" t="s">
        <v>2</v>
      </c>
      <c r="B4" s="5">
        <v>409</v>
      </c>
      <c r="C4" s="5">
        <v>125</v>
      </c>
    </row>
    <row r="5" spans="1:5" x14ac:dyDescent="0.3">
      <c r="A5" s="4" t="s">
        <v>3</v>
      </c>
      <c r="B5" s="30">
        <v>416</v>
      </c>
      <c r="C5" s="30">
        <v>86</v>
      </c>
    </row>
    <row r="6" spans="1:5" x14ac:dyDescent="0.3">
      <c r="A6" s="4" t="s">
        <v>4</v>
      </c>
      <c r="B6" s="19">
        <v>1955</v>
      </c>
      <c r="C6" s="6">
        <v>701</v>
      </c>
    </row>
    <row r="7" spans="1:5" x14ac:dyDescent="0.3">
      <c r="A7" s="4" t="s">
        <v>5</v>
      </c>
      <c r="B7" s="32">
        <v>664</v>
      </c>
      <c r="C7" s="5">
        <v>167</v>
      </c>
    </row>
    <row r="8" spans="1:5" s="15" customFormat="1" x14ac:dyDescent="0.3">
      <c r="A8" s="14" t="s">
        <v>6</v>
      </c>
      <c r="B8" s="6">
        <v>4</v>
      </c>
      <c r="C8" s="6">
        <v>0</v>
      </c>
    </row>
    <row r="9" spans="1:5" x14ac:dyDescent="0.3">
      <c r="A9" s="4" t="s">
        <v>7</v>
      </c>
      <c r="B9" s="5">
        <v>18</v>
      </c>
      <c r="C9" s="5">
        <v>12</v>
      </c>
    </row>
    <row r="10" spans="1:5" x14ac:dyDescent="0.3">
      <c r="A10" s="4" t="s">
        <v>8</v>
      </c>
      <c r="B10" s="5">
        <v>137</v>
      </c>
      <c r="C10" s="5">
        <v>35</v>
      </c>
    </row>
    <row r="11" spans="1:5" x14ac:dyDescent="0.3">
      <c r="A11" s="4" t="s">
        <v>9</v>
      </c>
      <c r="B11" s="5">
        <v>0</v>
      </c>
      <c r="C11" s="5">
        <v>0</v>
      </c>
    </row>
    <row r="12" spans="1:5" x14ac:dyDescent="0.3">
      <c r="A12" s="4" t="s">
        <v>10</v>
      </c>
      <c r="B12" s="5">
        <v>147</v>
      </c>
      <c r="C12" s="5">
        <v>41</v>
      </c>
    </row>
    <row r="13" spans="1:5" x14ac:dyDescent="0.3">
      <c r="A13" s="4" t="s">
        <v>11</v>
      </c>
      <c r="B13" s="5">
        <v>1</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P24"/>
  <sheetViews>
    <sheetView zoomScale="110" zoomScaleNormal="130" workbookViewId="0">
      <selection activeCell="D14" sqref="D1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187</v>
      </c>
      <c r="B1" s="44"/>
      <c r="C1" s="44"/>
      <c r="D1" s="44"/>
      <c r="E1" s="2"/>
    </row>
    <row r="2" spans="1:5" x14ac:dyDescent="0.3">
      <c r="B2" s="9" t="s">
        <v>1</v>
      </c>
      <c r="C2" s="10" t="s">
        <v>0</v>
      </c>
    </row>
    <row r="3" spans="1:5" ht="15" thickBot="1" x14ac:dyDescent="0.35">
      <c r="B3" s="20">
        <f>SUM(B4,B5,B6,B7,B8,B9,B10,B11,B12,B13,B16,B15,B14)</f>
        <v>3641</v>
      </c>
      <c r="C3" s="12">
        <f>SUM(C4,C5,C6,C7,C8,C9,,C10,C11,C12,C13,C16,C15,C14)</f>
        <v>1089</v>
      </c>
    </row>
    <row r="4" spans="1:5" s="5" customFormat="1" x14ac:dyDescent="0.3">
      <c r="A4" s="4" t="s">
        <v>2</v>
      </c>
      <c r="B4" s="5">
        <v>377</v>
      </c>
      <c r="C4" s="5">
        <v>116</v>
      </c>
    </row>
    <row r="5" spans="1:5" x14ac:dyDescent="0.3">
      <c r="A5" s="4" t="s">
        <v>3</v>
      </c>
      <c r="B5" s="30">
        <v>402</v>
      </c>
      <c r="C5" s="30">
        <v>88</v>
      </c>
    </row>
    <row r="6" spans="1:5" x14ac:dyDescent="0.3">
      <c r="A6" s="4" t="s">
        <v>4</v>
      </c>
      <c r="B6" s="19">
        <v>1877</v>
      </c>
      <c r="C6" s="6">
        <v>642</v>
      </c>
    </row>
    <row r="7" spans="1:5" x14ac:dyDescent="0.3">
      <c r="A7" s="4" t="s">
        <v>5</v>
      </c>
      <c r="B7" s="32">
        <v>660</v>
      </c>
      <c r="C7" s="5">
        <v>152</v>
      </c>
    </row>
    <row r="8" spans="1:5" s="15" customFormat="1" x14ac:dyDescent="0.3">
      <c r="A8" s="14" t="s">
        <v>6</v>
      </c>
      <c r="B8" s="6">
        <v>3</v>
      </c>
      <c r="C8" s="6">
        <v>0</v>
      </c>
    </row>
    <row r="9" spans="1:5" x14ac:dyDescent="0.3">
      <c r="A9" s="4" t="s">
        <v>7</v>
      </c>
      <c r="B9" s="5">
        <v>19</v>
      </c>
      <c r="C9" s="5">
        <v>13</v>
      </c>
    </row>
    <row r="10" spans="1:5" x14ac:dyDescent="0.3">
      <c r="A10" s="4" t="s">
        <v>8</v>
      </c>
      <c r="B10" s="5">
        <v>142</v>
      </c>
      <c r="C10" s="5">
        <v>37</v>
      </c>
    </row>
    <row r="11" spans="1:5" x14ac:dyDescent="0.3">
      <c r="A11" s="4" t="s">
        <v>9</v>
      </c>
      <c r="B11" s="5">
        <v>0</v>
      </c>
      <c r="C11" s="5">
        <v>0</v>
      </c>
    </row>
    <row r="12" spans="1:5" x14ac:dyDescent="0.3">
      <c r="A12" s="4" t="s">
        <v>10</v>
      </c>
      <c r="B12" s="5">
        <v>161</v>
      </c>
      <c r="C12" s="5">
        <v>41</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P24"/>
  <sheetViews>
    <sheetView zoomScale="110" zoomScaleNormal="130" workbookViewId="0">
      <selection activeCell="D15" sqref="D15"/>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186</v>
      </c>
      <c r="B1" s="44"/>
      <c r="C1" s="44"/>
      <c r="D1" s="44"/>
      <c r="E1" s="2"/>
    </row>
    <row r="2" spans="1:5" x14ac:dyDescent="0.3">
      <c r="B2" s="9" t="s">
        <v>1</v>
      </c>
      <c r="C2" s="10" t="s">
        <v>0</v>
      </c>
    </row>
    <row r="3" spans="1:5" ht="15" thickBot="1" x14ac:dyDescent="0.35">
      <c r="B3" s="20">
        <f>SUM(B4,B5,B6,B7,B8,B9,B10,B11,B12,B13,B16,B15,B14)</f>
        <v>3296</v>
      </c>
      <c r="C3" s="12">
        <f>SUM(C4,C5,C6,C7,C8,C9,,C10,C11,C12,C13,C16,C15,C14)</f>
        <v>1043</v>
      </c>
    </row>
    <row r="4" spans="1:5" s="5" customFormat="1" x14ac:dyDescent="0.3">
      <c r="A4" s="4" t="s">
        <v>2</v>
      </c>
      <c r="B4" s="5">
        <v>332</v>
      </c>
      <c r="C4" s="5">
        <v>102</v>
      </c>
    </row>
    <row r="5" spans="1:5" x14ac:dyDescent="0.3">
      <c r="A5" s="4" t="s">
        <v>3</v>
      </c>
      <c r="B5" s="30">
        <v>376</v>
      </c>
      <c r="C5" s="30">
        <v>90</v>
      </c>
    </row>
    <row r="6" spans="1:5" x14ac:dyDescent="0.3">
      <c r="A6" s="4" t="s">
        <v>4</v>
      </c>
      <c r="B6" s="19">
        <v>1646</v>
      </c>
      <c r="C6" s="6">
        <v>619</v>
      </c>
    </row>
    <row r="7" spans="1:5" x14ac:dyDescent="0.3">
      <c r="A7" s="4" t="s">
        <v>5</v>
      </c>
      <c r="B7" s="32">
        <v>630</v>
      </c>
      <c r="C7" s="5">
        <v>142</v>
      </c>
    </row>
    <row r="8" spans="1:5" s="15" customFormat="1" x14ac:dyDescent="0.3">
      <c r="A8" s="14" t="s">
        <v>6</v>
      </c>
      <c r="B8" s="6">
        <v>3</v>
      </c>
      <c r="C8" s="6">
        <v>0</v>
      </c>
    </row>
    <row r="9" spans="1:5" x14ac:dyDescent="0.3">
      <c r="A9" s="4" t="s">
        <v>7</v>
      </c>
      <c r="B9" s="5">
        <v>20</v>
      </c>
      <c r="C9" s="5">
        <v>13</v>
      </c>
    </row>
    <row r="10" spans="1:5" x14ac:dyDescent="0.3">
      <c r="A10" s="4" t="s">
        <v>8</v>
      </c>
      <c r="B10" s="5">
        <v>136</v>
      </c>
      <c r="C10" s="5">
        <v>31</v>
      </c>
    </row>
    <row r="11" spans="1:5" x14ac:dyDescent="0.3">
      <c r="A11" s="4" t="s">
        <v>9</v>
      </c>
      <c r="B11" s="5">
        <v>0</v>
      </c>
      <c r="C11" s="5">
        <v>0</v>
      </c>
    </row>
    <row r="12" spans="1:5" x14ac:dyDescent="0.3">
      <c r="A12" s="4" t="s">
        <v>10</v>
      </c>
      <c r="B12" s="5">
        <v>153</v>
      </c>
      <c r="C12" s="5">
        <v>46</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P24"/>
  <sheetViews>
    <sheetView zoomScale="110" zoomScaleNormal="130" workbookViewId="0">
      <selection activeCell="D15" sqref="D15"/>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185</v>
      </c>
      <c r="B1" s="44"/>
      <c r="C1" s="44"/>
      <c r="D1" s="44"/>
      <c r="E1" s="2"/>
    </row>
    <row r="2" spans="1:5" x14ac:dyDescent="0.3">
      <c r="B2" s="9" t="s">
        <v>1</v>
      </c>
      <c r="C2" s="10" t="s">
        <v>0</v>
      </c>
    </row>
    <row r="3" spans="1:5" ht="15" thickBot="1" x14ac:dyDescent="0.35">
      <c r="B3" s="20">
        <f>SUM(B4,B5,B6,B7,B8,B9,B10,B11,B12,B13,B16,B15,B14)</f>
        <v>2986</v>
      </c>
      <c r="C3" s="12">
        <f>SUM(C4,C5,C6,C7,C8,C9,,C10,C11,C12,C13,C16,C15,C14)</f>
        <v>928</v>
      </c>
    </row>
    <row r="4" spans="1:5" s="5" customFormat="1" x14ac:dyDescent="0.3">
      <c r="A4" s="4" t="s">
        <v>2</v>
      </c>
      <c r="B4" s="5">
        <v>336</v>
      </c>
      <c r="C4" s="5">
        <v>101</v>
      </c>
    </row>
    <row r="5" spans="1:5" x14ac:dyDescent="0.3">
      <c r="A5" s="4" t="s">
        <v>3</v>
      </c>
      <c r="B5" s="30">
        <v>340</v>
      </c>
      <c r="C5" s="30">
        <v>83</v>
      </c>
    </row>
    <row r="6" spans="1:5" x14ac:dyDescent="0.3">
      <c r="A6" s="4" t="s">
        <v>4</v>
      </c>
      <c r="B6" s="19">
        <v>1417</v>
      </c>
      <c r="C6" s="6">
        <v>525</v>
      </c>
    </row>
    <row r="7" spans="1:5" x14ac:dyDescent="0.3">
      <c r="A7" s="4" t="s">
        <v>5</v>
      </c>
      <c r="B7" s="32">
        <v>566</v>
      </c>
      <c r="C7" s="5">
        <v>132</v>
      </c>
    </row>
    <row r="8" spans="1:5" s="15" customFormat="1" x14ac:dyDescent="0.3">
      <c r="A8" s="14" t="s">
        <v>6</v>
      </c>
      <c r="B8" s="6">
        <v>1</v>
      </c>
      <c r="C8" s="6">
        <v>0</v>
      </c>
    </row>
    <row r="9" spans="1:5" x14ac:dyDescent="0.3">
      <c r="A9" s="4" t="s">
        <v>7</v>
      </c>
      <c r="B9" s="5">
        <v>20</v>
      </c>
      <c r="C9" s="5">
        <v>13</v>
      </c>
    </row>
    <row r="10" spans="1:5" x14ac:dyDescent="0.3">
      <c r="A10" s="4" t="s">
        <v>8</v>
      </c>
      <c r="B10" s="5">
        <v>141</v>
      </c>
      <c r="C10" s="5">
        <v>33</v>
      </c>
    </row>
    <row r="11" spans="1:5" x14ac:dyDescent="0.3">
      <c r="A11" s="4" t="s">
        <v>9</v>
      </c>
      <c r="B11" s="5">
        <v>0</v>
      </c>
      <c r="C11" s="5">
        <v>0</v>
      </c>
    </row>
    <row r="12" spans="1:5" x14ac:dyDescent="0.3">
      <c r="A12" s="4" t="s">
        <v>10</v>
      </c>
      <c r="B12" s="5">
        <v>165</v>
      </c>
      <c r="C12" s="5">
        <v>41</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P24"/>
  <sheetViews>
    <sheetView zoomScale="110" zoomScaleNormal="130" workbookViewId="0">
      <selection activeCell="D13" sqref="D13"/>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184</v>
      </c>
      <c r="B1" s="44"/>
      <c r="C1" s="44"/>
      <c r="D1" s="44"/>
      <c r="E1" s="2"/>
    </row>
    <row r="2" spans="1:5" x14ac:dyDescent="0.3">
      <c r="B2" s="9" t="s">
        <v>1</v>
      </c>
      <c r="C2" s="10" t="s">
        <v>0</v>
      </c>
    </row>
    <row r="3" spans="1:5" ht="15" thickBot="1" x14ac:dyDescent="0.35">
      <c r="B3" s="20">
        <f>SUM(B4,B5,B6,B7,B8,B9,B10,B11,B12,B13,B16,B15,B14)</f>
        <v>2913</v>
      </c>
      <c r="C3" s="12">
        <f>SUM(C4,C5,C6,C7,C8,C9,,C10,C11,C12,C13,C16,C15,C14)</f>
        <v>885</v>
      </c>
    </row>
    <row r="4" spans="1:5" s="5" customFormat="1" x14ac:dyDescent="0.3">
      <c r="A4" s="4" t="s">
        <v>2</v>
      </c>
      <c r="B4" s="5">
        <v>328</v>
      </c>
      <c r="C4" s="5">
        <v>96</v>
      </c>
    </row>
    <row r="5" spans="1:5" x14ac:dyDescent="0.3">
      <c r="A5" s="4" t="s">
        <v>3</v>
      </c>
      <c r="B5" s="30">
        <v>328</v>
      </c>
      <c r="C5" s="30">
        <v>76</v>
      </c>
    </row>
    <row r="6" spans="1:5" x14ac:dyDescent="0.3">
      <c r="A6" s="4" t="s">
        <v>4</v>
      </c>
      <c r="B6" s="19">
        <v>1397</v>
      </c>
      <c r="C6" s="6">
        <v>504</v>
      </c>
    </row>
    <row r="7" spans="1:5" x14ac:dyDescent="0.3">
      <c r="A7" s="4" t="s">
        <v>5</v>
      </c>
      <c r="B7" s="32">
        <v>543</v>
      </c>
      <c r="C7" s="5">
        <v>123</v>
      </c>
    </row>
    <row r="8" spans="1:5" s="15" customFormat="1" x14ac:dyDescent="0.3">
      <c r="A8" s="14" t="s">
        <v>6</v>
      </c>
      <c r="B8" s="6">
        <v>1</v>
      </c>
      <c r="C8" s="6">
        <v>0</v>
      </c>
    </row>
    <row r="9" spans="1:5" x14ac:dyDescent="0.3">
      <c r="A9" s="4" t="s">
        <v>7</v>
      </c>
      <c r="B9" s="5">
        <v>18</v>
      </c>
      <c r="C9" s="5">
        <v>12</v>
      </c>
    </row>
    <row r="10" spans="1:5" x14ac:dyDescent="0.3">
      <c r="A10" s="4" t="s">
        <v>8</v>
      </c>
      <c r="B10" s="5">
        <v>140</v>
      </c>
      <c r="C10" s="5">
        <v>30</v>
      </c>
    </row>
    <row r="11" spans="1:5" x14ac:dyDescent="0.3">
      <c r="A11" s="4" t="s">
        <v>9</v>
      </c>
      <c r="B11" s="5">
        <v>0</v>
      </c>
      <c r="C11" s="5">
        <v>0</v>
      </c>
    </row>
    <row r="12" spans="1:5" x14ac:dyDescent="0.3">
      <c r="A12" s="4" t="s">
        <v>10</v>
      </c>
      <c r="B12" s="5">
        <v>158</v>
      </c>
      <c r="C12" s="5">
        <v>44</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P24"/>
  <sheetViews>
    <sheetView zoomScale="110" zoomScaleNormal="130" workbookViewId="0">
      <selection activeCell="D13" sqref="D13"/>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183</v>
      </c>
      <c r="B1" s="44"/>
      <c r="C1" s="44"/>
      <c r="D1" s="44"/>
      <c r="E1" s="2"/>
    </row>
    <row r="2" spans="1:5" x14ac:dyDescent="0.3">
      <c r="B2" s="9" t="s">
        <v>1</v>
      </c>
      <c r="C2" s="10" t="s">
        <v>0</v>
      </c>
    </row>
    <row r="3" spans="1:5" ht="15" thickBot="1" x14ac:dyDescent="0.35">
      <c r="B3" s="20">
        <f>SUM(B4,B5,B6,B7,B8,B9,B10,B11,B12,B13,B16,B15,B14)</f>
        <v>2341</v>
      </c>
      <c r="C3" s="12">
        <f>SUM(C4,C5,C6,C7,C8,C9,,C10,C11,C12,C13,C16,C15,C14)</f>
        <v>835</v>
      </c>
    </row>
    <row r="4" spans="1:5" s="5" customFormat="1" x14ac:dyDescent="0.3">
      <c r="A4" s="4" t="s">
        <v>2</v>
      </c>
      <c r="B4" s="5">
        <v>296</v>
      </c>
      <c r="C4" s="5">
        <v>79</v>
      </c>
    </row>
    <row r="5" spans="1:5" x14ac:dyDescent="0.3">
      <c r="A5" s="4" t="s">
        <v>3</v>
      </c>
      <c r="B5" s="30">
        <v>292</v>
      </c>
      <c r="C5" s="30">
        <v>59</v>
      </c>
    </row>
    <row r="6" spans="1:5" x14ac:dyDescent="0.3">
      <c r="A6" s="4" t="s">
        <v>4</v>
      </c>
      <c r="B6" s="19">
        <v>942</v>
      </c>
      <c r="C6" s="6">
        <v>494</v>
      </c>
    </row>
    <row r="7" spans="1:5" x14ac:dyDescent="0.3">
      <c r="A7" s="4" t="s">
        <v>5</v>
      </c>
      <c r="B7" s="32">
        <v>503</v>
      </c>
      <c r="C7" s="5">
        <v>123</v>
      </c>
    </row>
    <row r="8" spans="1:5" s="15" customFormat="1" x14ac:dyDescent="0.3">
      <c r="A8" s="14" t="s">
        <v>6</v>
      </c>
      <c r="B8" s="6">
        <v>1</v>
      </c>
      <c r="C8" s="6">
        <v>0</v>
      </c>
    </row>
    <row r="9" spans="1:5" x14ac:dyDescent="0.3">
      <c r="A9" s="4" t="s">
        <v>7</v>
      </c>
      <c r="B9" s="5">
        <v>15</v>
      </c>
      <c r="C9" s="5">
        <v>7</v>
      </c>
    </row>
    <row r="10" spans="1:5" x14ac:dyDescent="0.3">
      <c r="A10" s="4" t="s">
        <v>8</v>
      </c>
      <c r="B10" s="5">
        <v>142</v>
      </c>
      <c r="C10" s="5">
        <v>29</v>
      </c>
    </row>
    <row r="11" spans="1:5" x14ac:dyDescent="0.3">
      <c r="A11" s="4" t="s">
        <v>9</v>
      </c>
      <c r="B11" s="5">
        <v>0</v>
      </c>
      <c r="C11" s="5">
        <v>0</v>
      </c>
    </row>
    <row r="12" spans="1:5" x14ac:dyDescent="0.3">
      <c r="A12" s="4" t="s">
        <v>10</v>
      </c>
      <c r="B12" s="5">
        <v>150</v>
      </c>
      <c r="C12" s="5">
        <v>44</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P24"/>
  <sheetViews>
    <sheetView zoomScale="110" zoomScaleNormal="130" workbookViewId="0">
      <selection activeCell="D14" sqref="D1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182</v>
      </c>
      <c r="B1" s="44"/>
      <c r="C1" s="44"/>
      <c r="D1" s="44"/>
      <c r="E1" s="2"/>
    </row>
    <row r="2" spans="1:5" x14ac:dyDescent="0.3">
      <c r="B2" s="9" t="s">
        <v>1</v>
      </c>
      <c r="C2" s="10" t="s">
        <v>0</v>
      </c>
    </row>
    <row r="3" spans="1:5" ht="15" thickBot="1" x14ac:dyDescent="0.35">
      <c r="B3" s="20">
        <f>SUM(B4,B5,B6,B7,B8,B9,B10,B11,B12,B13,B16,B15,B14)</f>
        <v>2499</v>
      </c>
      <c r="C3" s="12">
        <f>SUM(C4,C5,C6,C7,C8,C9,,C10,C11,C12,C13,C16,C15,C14)</f>
        <v>704</v>
      </c>
    </row>
    <row r="4" spans="1:5" s="5" customFormat="1" x14ac:dyDescent="0.3">
      <c r="A4" s="4" t="s">
        <v>2</v>
      </c>
      <c r="B4" s="5">
        <v>312</v>
      </c>
      <c r="C4" s="5">
        <v>78</v>
      </c>
    </row>
    <row r="5" spans="1:5" x14ac:dyDescent="0.3">
      <c r="A5" s="4" t="s">
        <v>3</v>
      </c>
      <c r="B5" s="30">
        <v>301</v>
      </c>
      <c r="C5" s="30">
        <v>58</v>
      </c>
    </row>
    <row r="6" spans="1:5" x14ac:dyDescent="0.3">
      <c r="A6" s="4" t="s">
        <v>4</v>
      </c>
      <c r="B6" s="19">
        <v>1111</v>
      </c>
      <c r="C6" s="6">
        <v>396</v>
      </c>
    </row>
    <row r="7" spans="1:5" x14ac:dyDescent="0.3">
      <c r="A7" s="4" t="s">
        <v>5</v>
      </c>
      <c r="B7" s="32">
        <v>485</v>
      </c>
      <c r="C7" s="5">
        <v>120</v>
      </c>
    </row>
    <row r="8" spans="1:5" s="15" customFormat="1" x14ac:dyDescent="0.3">
      <c r="A8" s="14" t="s">
        <v>6</v>
      </c>
      <c r="B8" s="6">
        <v>1</v>
      </c>
      <c r="C8" s="6">
        <v>0</v>
      </c>
    </row>
    <row r="9" spans="1:5" x14ac:dyDescent="0.3">
      <c r="A9" s="4" t="s">
        <v>7</v>
      </c>
      <c r="B9" s="5">
        <v>5</v>
      </c>
      <c r="C9" s="5">
        <v>2</v>
      </c>
    </row>
    <row r="10" spans="1:5" x14ac:dyDescent="0.3">
      <c r="A10" s="4" t="s">
        <v>8</v>
      </c>
      <c r="B10" s="5">
        <v>146</v>
      </c>
      <c r="C10" s="5">
        <v>28</v>
      </c>
    </row>
    <row r="11" spans="1:5" x14ac:dyDescent="0.3">
      <c r="A11" s="4" t="s">
        <v>9</v>
      </c>
      <c r="B11" s="5">
        <v>0</v>
      </c>
      <c r="C11" s="5">
        <v>0</v>
      </c>
    </row>
    <row r="12" spans="1:5" x14ac:dyDescent="0.3">
      <c r="A12" s="4" t="s">
        <v>10</v>
      </c>
      <c r="B12" s="5">
        <v>138</v>
      </c>
      <c r="C12" s="5">
        <v>22</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P24"/>
  <sheetViews>
    <sheetView zoomScale="110" zoomScaleNormal="130" workbookViewId="0">
      <selection activeCell="D14" sqref="D1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181</v>
      </c>
      <c r="B1" s="44"/>
      <c r="C1" s="44"/>
      <c r="D1" s="44"/>
      <c r="E1" s="2"/>
    </row>
    <row r="2" spans="1:5" x14ac:dyDescent="0.3">
      <c r="B2" s="9" t="s">
        <v>1</v>
      </c>
      <c r="C2" s="10" t="s">
        <v>0</v>
      </c>
    </row>
    <row r="3" spans="1:5" ht="15" thickBot="1" x14ac:dyDescent="0.35">
      <c r="B3" s="20">
        <f>SUM(B4,B5,B6,B7,B8,B9,B10,B11,B12,B13,B16,B15,B14)</f>
        <v>2171</v>
      </c>
      <c r="C3" s="12">
        <f>SUM(C4,C5,C6,C7,C8,C9,,C10,C11,C12,C13,C16,C15,C14)</f>
        <v>702</v>
      </c>
    </row>
    <row r="4" spans="1:5" s="5" customFormat="1" x14ac:dyDescent="0.3">
      <c r="A4" s="4" t="s">
        <v>2</v>
      </c>
      <c r="B4" s="5">
        <v>294</v>
      </c>
      <c r="C4" s="5">
        <v>81</v>
      </c>
    </row>
    <row r="5" spans="1:5" x14ac:dyDescent="0.3">
      <c r="A5" s="4" t="s">
        <v>3</v>
      </c>
      <c r="B5" s="30">
        <v>277</v>
      </c>
      <c r="C5" s="30">
        <v>63</v>
      </c>
    </row>
    <row r="6" spans="1:5" x14ac:dyDescent="0.3">
      <c r="A6" s="4" t="s">
        <v>4</v>
      </c>
      <c r="B6" s="19">
        <v>841</v>
      </c>
      <c r="C6" s="6">
        <v>382</v>
      </c>
    </row>
    <row r="7" spans="1:5" x14ac:dyDescent="0.3">
      <c r="A7" s="4" t="s">
        <v>5</v>
      </c>
      <c r="B7" s="32">
        <v>477</v>
      </c>
      <c r="C7" s="5">
        <v>120</v>
      </c>
    </row>
    <row r="8" spans="1:5" s="15" customFormat="1" x14ac:dyDescent="0.3">
      <c r="A8" s="14" t="s">
        <v>6</v>
      </c>
      <c r="B8" s="6">
        <v>1</v>
      </c>
      <c r="C8" s="6">
        <v>0</v>
      </c>
    </row>
    <row r="9" spans="1:5" x14ac:dyDescent="0.3">
      <c r="A9" s="4" t="s">
        <v>7</v>
      </c>
      <c r="B9" s="5">
        <v>4</v>
      </c>
      <c r="C9" s="5">
        <v>2</v>
      </c>
    </row>
    <row r="10" spans="1:5" x14ac:dyDescent="0.3">
      <c r="A10" s="4" t="s">
        <v>8</v>
      </c>
      <c r="B10" s="5">
        <v>149</v>
      </c>
      <c r="C10" s="5">
        <v>27</v>
      </c>
    </row>
    <row r="11" spans="1:5" x14ac:dyDescent="0.3">
      <c r="A11" s="4" t="s">
        <v>9</v>
      </c>
      <c r="B11" s="5">
        <v>0</v>
      </c>
      <c r="C11" s="5">
        <v>0</v>
      </c>
    </row>
    <row r="12" spans="1:5" x14ac:dyDescent="0.3">
      <c r="A12" s="4" t="s">
        <v>10</v>
      </c>
      <c r="B12" s="5">
        <v>128</v>
      </c>
      <c r="C12" s="5">
        <v>27</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P24"/>
  <sheetViews>
    <sheetView zoomScale="110" zoomScaleNormal="130" workbookViewId="0">
      <selection activeCell="C24" sqref="C2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180</v>
      </c>
      <c r="B1" s="44"/>
      <c r="C1" s="44"/>
      <c r="D1" s="44"/>
      <c r="E1" s="2"/>
    </row>
    <row r="2" spans="1:5" x14ac:dyDescent="0.3">
      <c r="B2" s="9" t="s">
        <v>1</v>
      </c>
      <c r="C2" s="10" t="s">
        <v>0</v>
      </c>
    </row>
    <row r="3" spans="1:5" ht="15" thickBot="1" x14ac:dyDescent="0.35">
      <c r="B3" s="20">
        <f>SUM(B4,B5,B6,B7,B8,B9,B10,B11,B12,B13,B16,B15,B14)</f>
        <v>2272</v>
      </c>
      <c r="C3" s="12">
        <f>SUM(C4,C5,C6,C7,C8,C9,,C10,C11,C12,C13,C16,C15,C14)</f>
        <v>661</v>
      </c>
    </row>
    <row r="4" spans="1:5" s="5" customFormat="1" x14ac:dyDescent="0.3">
      <c r="A4" s="4" t="s">
        <v>2</v>
      </c>
      <c r="B4" s="5">
        <v>306</v>
      </c>
      <c r="C4" s="5">
        <v>79</v>
      </c>
    </row>
    <row r="5" spans="1:5" x14ac:dyDescent="0.3">
      <c r="A5" s="4" t="s">
        <v>3</v>
      </c>
      <c r="B5" s="30">
        <v>294</v>
      </c>
      <c r="C5" s="30">
        <v>55</v>
      </c>
    </row>
    <row r="6" spans="1:5" x14ac:dyDescent="0.3">
      <c r="A6" s="4" t="s">
        <v>4</v>
      </c>
      <c r="B6" s="19">
        <v>913</v>
      </c>
      <c r="C6" s="6">
        <v>359</v>
      </c>
    </row>
    <row r="7" spans="1:5" x14ac:dyDescent="0.3">
      <c r="A7" s="4" t="s">
        <v>5</v>
      </c>
      <c r="B7" s="32">
        <v>481</v>
      </c>
      <c r="C7" s="5">
        <v>115</v>
      </c>
    </row>
    <row r="8" spans="1:5" s="15" customFormat="1" x14ac:dyDescent="0.3">
      <c r="A8" s="14" t="s">
        <v>6</v>
      </c>
      <c r="B8" s="6">
        <v>0</v>
      </c>
      <c r="C8" s="6">
        <v>0</v>
      </c>
    </row>
    <row r="9" spans="1:5" x14ac:dyDescent="0.3">
      <c r="A9" s="4" t="s">
        <v>7</v>
      </c>
      <c r="B9" s="5">
        <v>4</v>
      </c>
      <c r="C9" s="5">
        <v>0</v>
      </c>
    </row>
    <row r="10" spans="1:5" x14ac:dyDescent="0.3">
      <c r="A10" s="4" t="s">
        <v>8</v>
      </c>
      <c r="B10" s="5">
        <v>142</v>
      </c>
      <c r="C10" s="5">
        <v>31</v>
      </c>
    </row>
    <row r="11" spans="1:5" x14ac:dyDescent="0.3">
      <c r="A11" s="4" t="s">
        <v>9</v>
      </c>
      <c r="B11" s="5">
        <v>0</v>
      </c>
      <c r="C11" s="5">
        <v>0</v>
      </c>
    </row>
    <row r="12" spans="1:5" x14ac:dyDescent="0.3">
      <c r="A12" s="4" t="s">
        <v>10</v>
      </c>
      <c r="B12" s="5">
        <v>132</v>
      </c>
      <c r="C12" s="5">
        <v>22</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P24"/>
  <sheetViews>
    <sheetView zoomScale="110" zoomScaleNormal="130" workbookViewId="0">
      <selection activeCell="D13" sqref="D13"/>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179</v>
      </c>
      <c r="B1" s="44"/>
      <c r="C1" s="44"/>
      <c r="D1" s="44"/>
      <c r="E1" s="2"/>
    </row>
    <row r="2" spans="1:5" x14ac:dyDescent="0.3">
      <c r="B2" s="9" t="s">
        <v>1</v>
      </c>
      <c r="C2" s="10" t="s">
        <v>0</v>
      </c>
    </row>
    <row r="3" spans="1:5" ht="15" thickBot="1" x14ac:dyDescent="0.35">
      <c r="B3" s="20">
        <f>SUM(B4,B5,B6,B7,B8,B9,B10,B11,B12,B13,B16,B15,B14)</f>
        <v>2275</v>
      </c>
      <c r="C3" s="12">
        <f>SUM(C4,C5,C6,C7,C8,C9,,C10,C11,C12,C13,C16,C15,C14)</f>
        <v>638</v>
      </c>
    </row>
    <row r="4" spans="1:5" s="5" customFormat="1" x14ac:dyDescent="0.3">
      <c r="A4" s="4" t="s">
        <v>2</v>
      </c>
      <c r="B4" s="5">
        <v>314</v>
      </c>
      <c r="C4" s="5">
        <v>83</v>
      </c>
    </row>
    <row r="5" spans="1:5" x14ac:dyDescent="0.3">
      <c r="A5" s="4" t="s">
        <v>3</v>
      </c>
      <c r="B5" s="30">
        <v>290</v>
      </c>
      <c r="C5" s="30">
        <v>53</v>
      </c>
    </row>
    <row r="6" spans="1:5" x14ac:dyDescent="0.3">
      <c r="A6" s="4" t="s">
        <v>4</v>
      </c>
      <c r="B6" s="19">
        <v>893</v>
      </c>
      <c r="C6" s="6">
        <v>333</v>
      </c>
    </row>
    <row r="7" spans="1:5" x14ac:dyDescent="0.3">
      <c r="A7" s="4" t="s">
        <v>5</v>
      </c>
      <c r="B7" s="32">
        <v>508</v>
      </c>
      <c r="C7" s="5">
        <v>118</v>
      </c>
    </row>
    <row r="8" spans="1:5" s="15" customFormat="1" x14ac:dyDescent="0.3">
      <c r="A8" s="14" t="s">
        <v>6</v>
      </c>
      <c r="B8" s="6">
        <v>0</v>
      </c>
      <c r="C8" s="6">
        <v>0</v>
      </c>
    </row>
    <row r="9" spans="1:5" x14ac:dyDescent="0.3">
      <c r="A9" s="4" t="s">
        <v>7</v>
      </c>
      <c r="B9" s="5">
        <v>1</v>
      </c>
      <c r="C9" s="5">
        <v>0</v>
      </c>
    </row>
    <row r="10" spans="1:5" x14ac:dyDescent="0.3">
      <c r="A10" s="4" t="s">
        <v>8</v>
      </c>
      <c r="B10" s="5">
        <v>142</v>
      </c>
      <c r="C10" s="5">
        <v>25</v>
      </c>
    </row>
    <row r="11" spans="1:5" x14ac:dyDescent="0.3">
      <c r="A11" s="4" t="s">
        <v>9</v>
      </c>
      <c r="B11" s="5">
        <v>0</v>
      </c>
      <c r="C11" s="5">
        <v>0</v>
      </c>
    </row>
    <row r="12" spans="1:5" x14ac:dyDescent="0.3">
      <c r="A12" s="4" t="s">
        <v>10</v>
      </c>
      <c r="B12" s="5">
        <v>126</v>
      </c>
      <c r="C12" s="5">
        <v>26</v>
      </c>
    </row>
    <row r="13" spans="1:5" x14ac:dyDescent="0.3">
      <c r="A13" s="4" t="s">
        <v>11</v>
      </c>
      <c r="B13" s="5">
        <v>1</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6"/>
  <sheetViews>
    <sheetView zoomScaleNormal="100" workbookViewId="0">
      <selection activeCell="A25" sqref="A25"/>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461</v>
      </c>
      <c r="B1" s="44"/>
      <c r="C1" s="44"/>
      <c r="D1" s="44"/>
      <c r="E1" s="2"/>
    </row>
    <row r="2" spans="1:5" x14ac:dyDescent="0.3">
      <c r="B2" s="9" t="s">
        <v>1</v>
      </c>
      <c r="C2" s="10" t="s">
        <v>0</v>
      </c>
    </row>
    <row r="3" spans="1:5" ht="15" thickBot="1" x14ac:dyDescent="0.35">
      <c r="B3" s="20">
        <f>SUM(B4,B5,B6,B7,B8,B9,B10,B11,B12,B13,B16,B15,B14)</f>
        <v>6370</v>
      </c>
      <c r="C3" s="12">
        <f>SUM(C4,C5,C6,C7,C8,C9,,C10,C11,C12,C13,C16,C15,C14)</f>
        <v>423</v>
      </c>
    </row>
    <row r="4" spans="1:5" s="5" customFormat="1" x14ac:dyDescent="0.3">
      <c r="A4" s="4" t="s">
        <v>2</v>
      </c>
      <c r="B4" s="18">
        <v>550</v>
      </c>
      <c r="C4" s="5">
        <v>39</v>
      </c>
    </row>
    <row r="5" spans="1:5" x14ac:dyDescent="0.3">
      <c r="A5" s="4" t="s">
        <v>3</v>
      </c>
      <c r="B5" s="30">
        <v>1267</v>
      </c>
      <c r="C5" s="30">
        <v>46</v>
      </c>
      <c r="D5" s="5"/>
    </row>
    <row r="6" spans="1:5" x14ac:dyDescent="0.3">
      <c r="A6" s="4" t="s">
        <v>4</v>
      </c>
      <c r="B6" s="19">
        <v>1662</v>
      </c>
      <c r="C6" s="6">
        <v>210</v>
      </c>
      <c r="D6" s="5"/>
    </row>
    <row r="7" spans="1:5" x14ac:dyDescent="0.3">
      <c r="A7" s="4" t="s">
        <v>5</v>
      </c>
      <c r="B7" s="32">
        <v>2051</v>
      </c>
      <c r="C7" s="5">
        <v>60</v>
      </c>
      <c r="D7" s="5"/>
    </row>
    <row r="8" spans="1:5" s="15" customFormat="1" x14ac:dyDescent="0.3">
      <c r="A8" s="14" t="s">
        <v>6</v>
      </c>
      <c r="B8" s="6">
        <v>66</v>
      </c>
      <c r="C8" s="6">
        <v>17</v>
      </c>
      <c r="D8" s="5"/>
    </row>
    <row r="9" spans="1:5" x14ac:dyDescent="0.3">
      <c r="A9" s="4" t="s">
        <v>7</v>
      </c>
      <c r="B9" s="5">
        <v>123</v>
      </c>
      <c r="C9" s="5">
        <v>13</v>
      </c>
      <c r="D9" s="5"/>
    </row>
    <row r="10" spans="1:5" x14ac:dyDescent="0.3">
      <c r="A10" s="4" t="s">
        <v>8</v>
      </c>
      <c r="B10" s="5">
        <v>185</v>
      </c>
      <c r="C10" s="5">
        <v>12</v>
      </c>
      <c r="D10" s="5"/>
    </row>
    <row r="11" spans="1:5" x14ac:dyDescent="0.3">
      <c r="A11" s="4" t="s">
        <v>9</v>
      </c>
      <c r="B11" s="5">
        <v>13</v>
      </c>
      <c r="C11" s="5">
        <v>0</v>
      </c>
      <c r="D11" s="5"/>
    </row>
    <row r="12" spans="1:5" x14ac:dyDescent="0.3">
      <c r="A12" s="4" t="s">
        <v>10</v>
      </c>
      <c r="B12" s="5">
        <v>390</v>
      </c>
      <c r="C12" s="5">
        <v>20</v>
      </c>
      <c r="D12" s="5"/>
    </row>
    <row r="13" spans="1:5" x14ac:dyDescent="0.3">
      <c r="A13" s="4" t="s">
        <v>11</v>
      </c>
      <c r="B13" s="5">
        <v>17</v>
      </c>
      <c r="C13" s="5">
        <v>5</v>
      </c>
      <c r="D13" s="5"/>
    </row>
    <row r="14" spans="1:5" x14ac:dyDescent="0.3">
      <c r="A14" s="4" t="s">
        <v>12</v>
      </c>
      <c r="B14" s="8">
        <v>8</v>
      </c>
      <c r="C14" s="7">
        <v>1</v>
      </c>
      <c r="D14" s="5"/>
    </row>
    <row r="15" spans="1:5" x14ac:dyDescent="0.3">
      <c r="A15" s="4" t="s">
        <v>13</v>
      </c>
      <c r="B15" s="5">
        <v>5</v>
      </c>
      <c r="C15" s="5">
        <v>0</v>
      </c>
      <c r="D15" s="5" t="s">
        <v>231</v>
      </c>
    </row>
    <row r="16" spans="1:5" x14ac:dyDescent="0.3">
      <c r="A16" s="4" t="s">
        <v>14</v>
      </c>
      <c r="B16" s="5">
        <v>33</v>
      </c>
      <c r="C16" s="5">
        <v>0</v>
      </c>
      <c r="D16" s="5"/>
    </row>
    <row r="17" spans="1:9" x14ac:dyDescent="0.3">
      <c r="B17" s="3"/>
    </row>
    <row r="20" spans="1:9" x14ac:dyDescent="0.3">
      <c r="A20" s="1" t="s">
        <v>122</v>
      </c>
    </row>
    <row r="21" spans="1:9" s="3" customFormat="1" x14ac:dyDescent="0.3">
      <c r="A21" s="33" t="s">
        <v>459</v>
      </c>
      <c r="B21" s="8"/>
    </row>
    <row r="22" spans="1:9" s="3" customFormat="1" x14ac:dyDescent="0.3">
      <c r="A22" s="34" t="s">
        <v>465</v>
      </c>
      <c r="B22" s="8"/>
    </row>
    <row r="23" spans="1:9" s="3" customFormat="1" x14ac:dyDescent="0.3">
      <c r="A23" s="35" t="s">
        <v>443</v>
      </c>
      <c r="B23" s="8"/>
    </row>
    <row r="24" spans="1:9" s="3" customFormat="1" x14ac:dyDescent="0.3">
      <c r="A24" s="33" t="s">
        <v>462</v>
      </c>
      <c r="B24" s="8"/>
    </row>
    <row r="25" spans="1:9" s="3" customFormat="1" x14ac:dyDescent="0.3">
      <c r="A25" s="36" t="s">
        <v>463</v>
      </c>
      <c r="B25" s="8"/>
    </row>
    <row r="26" spans="1:9" s="3" customFormat="1" x14ac:dyDescent="0.3">
      <c r="A26" s="33" t="s">
        <v>464</v>
      </c>
      <c r="B26" s="8"/>
      <c r="I26" s="3" t="s">
        <v>414</v>
      </c>
    </row>
  </sheetData>
  <mergeCells count="1">
    <mergeCell ref="A1:D1"/>
  </mergeCells>
  <hyperlinks>
    <hyperlink ref="A21" r:id="rId1" xr:uid="{00000000-0004-0000-0300-000000000000}"/>
    <hyperlink ref="A22" r:id="rId2" display="**** YT's official website is now informing the number of hospitalizations, which is 2 as of March 7th." xr:uid="{00000000-0004-0000-0300-000001000000}"/>
    <hyperlink ref="A23" r:id="rId3" display="***** NU's official website does not disclose the number of current hospitalizations, but according to the press as of March 9th, 33 people had been hospitalized since December 21st due to the Omicron wave. That number does not represent the total number " xr:uid="{00000000-0004-0000-0300-000002000000}"/>
    <hyperlink ref="A24" r:id="rId4" xr:uid="{00000000-0004-0000-0300-000003000000}"/>
    <hyperlink ref="A26" r:id="rId5" xr:uid="{00000000-0004-0000-0300-000004000000}"/>
    <hyperlink ref="A25" r:id="rId6" xr:uid="{00000000-0004-0000-0300-000005000000}"/>
  </hyperlinks>
  <pageMargins left="0.7" right="0.7" top="0.75" bottom="0.75" header="0.3" footer="0.3"/>
  <pageSetup orientation="portrait" r:id="rId7"/>
  <drawing r:id="rId8"/>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A1:P24"/>
  <sheetViews>
    <sheetView zoomScale="110" zoomScaleNormal="130" workbookViewId="0">
      <selection activeCell="D17" sqref="D17"/>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178</v>
      </c>
      <c r="B1" s="44"/>
      <c r="C1" s="44"/>
      <c r="D1" s="44"/>
      <c r="E1" s="2"/>
    </row>
    <row r="2" spans="1:5" x14ac:dyDescent="0.3">
      <c r="B2" s="9" t="s">
        <v>1</v>
      </c>
      <c r="C2" s="10" t="s">
        <v>0</v>
      </c>
    </row>
    <row r="3" spans="1:5" ht="15" thickBot="1" x14ac:dyDescent="0.35">
      <c r="B3" s="20">
        <f>SUM(B4,B5,B6,B7,B8,B9,B10,B11,B12,B13,B16,B15,B14)</f>
        <v>2151</v>
      </c>
      <c r="C3" s="12">
        <f>SUM(C4,C5,C6,C7,C8,C9,,C10,C11,C12,C13,C16,C15,C14)</f>
        <v>598</v>
      </c>
    </row>
    <row r="4" spans="1:5" s="5" customFormat="1" x14ac:dyDescent="0.3">
      <c r="A4" s="4" t="s">
        <v>2</v>
      </c>
      <c r="B4" s="5">
        <v>292</v>
      </c>
      <c r="C4" s="5">
        <v>85</v>
      </c>
    </row>
    <row r="5" spans="1:5" x14ac:dyDescent="0.3">
      <c r="A5" s="4" t="s">
        <v>3</v>
      </c>
      <c r="B5" s="30">
        <v>282</v>
      </c>
      <c r="C5" s="30">
        <v>47</v>
      </c>
    </row>
    <row r="6" spans="1:5" x14ac:dyDescent="0.3">
      <c r="A6" s="4" t="s">
        <v>4</v>
      </c>
      <c r="B6" s="19">
        <v>813</v>
      </c>
      <c r="C6" s="6">
        <v>298</v>
      </c>
    </row>
    <row r="7" spans="1:5" x14ac:dyDescent="0.3">
      <c r="A7" s="4" t="s">
        <v>5</v>
      </c>
      <c r="B7" s="32">
        <v>513</v>
      </c>
      <c r="C7" s="5">
        <v>114</v>
      </c>
    </row>
    <row r="8" spans="1:5" s="15" customFormat="1" x14ac:dyDescent="0.3">
      <c r="A8" s="14" t="s">
        <v>6</v>
      </c>
      <c r="B8" s="6">
        <v>0</v>
      </c>
      <c r="C8" s="6">
        <v>0</v>
      </c>
    </row>
    <row r="9" spans="1:5" x14ac:dyDescent="0.3">
      <c r="A9" s="4" t="s">
        <v>7</v>
      </c>
      <c r="B9" s="5">
        <v>2</v>
      </c>
      <c r="C9" s="5">
        <v>0</v>
      </c>
    </row>
    <row r="10" spans="1:5" x14ac:dyDescent="0.3">
      <c r="A10" s="4" t="s">
        <v>8</v>
      </c>
      <c r="B10" s="5">
        <v>138</v>
      </c>
      <c r="C10" s="5">
        <v>25</v>
      </c>
    </row>
    <row r="11" spans="1:5" x14ac:dyDescent="0.3">
      <c r="A11" s="4" t="s">
        <v>9</v>
      </c>
      <c r="B11" s="5">
        <v>0</v>
      </c>
      <c r="C11" s="5">
        <v>0</v>
      </c>
    </row>
    <row r="12" spans="1:5" x14ac:dyDescent="0.3">
      <c r="A12" s="4" t="s">
        <v>10</v>
      </c>
      <c r="B12" s="5">
        <v>110</v>
      </c>
      <c r="C12" s="5">
        <v>29</v>
      </c>
    </row>
    <row r="13" spans="1:5" x14ac:dyDescent="0.3">
      <c r="A13" s="4" t="s">
        <v>11</v>
      </c>
      <c r="B13" s="5">
        <v>1</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A1:P24"/>
  <sheetViews>
    <sheetView zoomScale="110" zoomScaleNormal="130" workbookViewId="0">
      <selection activeCell="D16" sqref="D16"/>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177</v>
      </c>
      <c r="B1" s="44"/>
      <c r="C1" s="44"/>
      <c r="D1" s="44"/>
      <c r="E1" s="2"/>
    </row>
    <row r="2" spans="1:5" x14ac:dyDescent="0.3">
      <c r="B2" s="9" t="s">
        <v>1</v>
      </c>
      <c r="C2" s="10" t="s">
        <v>0</v>
      </c>
    </row>
    <row r="3" spans="1:5" ht="15" thickBot="1" x14ac:dyDescent="0.35">
      <c r="B3" s="20">
        <f>SUM(B4,B5,B6,B7,B8,B9,B10,B11,B12,B13,B16,B15,B14)</f>
        <v>2070</v>
      </c>
      <c r="C3" s="12">
        <f>SUM(C4,C5,C6,C7,C8,C9,,C10,C11,C12,C13,C16,C15,C14)</f>
        <v>586</v>
      </c>
    </row>
    <row r="4" spans="1:5" s="5" customFormat="1" x14ac:dyDescent="0.3">
      <c r="A4" s="4" t="s">
        <v>2</v>
      </c>
      <c r="B4" s="5">
        <v>286</v>
      </c>
      <c r="C4" s="5">
        <v>85</v>
      </c>
    </row>
    <row r="5" spans="1:5" x14ac:dyDescent="0.3">
      <c r="A5" s="4" t="s">
        <v>3</v>
      </c>
      <c r="B5" s="30">
        <v>264</v>
      </c>
      <c r="C5" s="30">
        <v>43</v>
      </c>
    </row>
    <row r="6" spans="1:5" x14ac:dyDescent="0.3">
      <c r="A6" s="4" t="s">
        <v>4</v>
      </c>
      <c r="B6" s="19">
        <v>759</v>
      </c>
      <c r="C6" s="6">
        <v>309</v>
      </c>
    </row>
    <row r="7" spans="1:5" x14ac:dyDescent="0.3">
      <c r="A7" s="4" t="s">
        <v>5</v>
      </c>
      <c r="B7" s="32">
        <v>504</v>
      </c>
      <c r="C7" s="5">
        <v>99</v>
      </c>
    </row>
    <row r="8" spans="1:5" s="15" customFormat="1" x14ac:dyDescent="0.3">
      <c r="A8" s="14" t="s">
        <v>6</v>
      </c>
      <c r="B8" s="6">
        <v>0</v>
      </c>
      <c r="C8" s="6">
        <v>0</v>
      </c>
    </row>
    <row r="9" spans="1:5" x14ac:dyDescent="0.3">
      <c r="A9" s="4" t="s">
        <v>7</v>
      </c>
      <c r="B9" s="5">
        <v>1</v>
      </c>
      <c r="C9" s="5">
        <v>0</v>
      </c>
    </row>
    <row r="10" spans="1:5" x14ac:dyDescent="0.3">
      <c r="A10" s="4" t="s">
        <v>8</v>
      </c>
      <c r="B10" s="5">
        <v>146</v>
      </c>
      <c r="C10" s="5">
        <v>23</v>
      </c>
    </row>
    <row r="11" spans="1:5" x14ac:dyDescent="0.3">
      <c r="A11" s="4" t="s">
        <v>9</v>
      </c>
      <c r="B11" s="5">
        <v>0</v>
      </c>
      <c r="C11" s="5">
        <v>0</v>
      </c>
    </row>
    <row r="12" spans="1:5" x14ac:dyDescent="0.3">
      <c r="A12" s="4" t="s">
        <v>10</v>
      </c>
      <c r="B12" s="5">
        <v>109</v>
      </c>
      <c r="C12" s="5">
        <v>27</v>
      </c>
    </row>
    <row r="13" spans="1:5" x14ac:dyDescent="0.3">
      <c r="A13" s="4" t="s">
        <v>11</v>
      </c>
      <c r="B13" s="5">
        <v>1</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A1:P24"/>
  <sheetViews>
    <sheetView zoomScale="110" zoomScaleNormal="130" workbookViewId="0">
      <selection activeCell="G20" sqref="G20"/>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176</v>
      </c>
      <c r="B1" s="44"/>
      <c r="C1" s="44"/>
      <c r="D1" s="44"/>
      <c r="E1" s="2"/>
    </row>
    <row r="2" spans="1:5" x14ac:dyDescent="0.3">
      <c r="B2" s="9" t="s">
        <v>1</v>
      </c>
      <c r="C2" s="10" t="s">
        <v>0</v>
      </c>
    </row>
    <row r="3" spans="1:5" ht="15" thickBot="1" x14ac:dyDescent="0.35">
      <c r="B3" s="20">
        <f>SUM(B4,B5,B6,B7,B8,B9,B10,B11,B12,B13,B16,B15,B14)</f>
        <v>2105</v>
      </c>
      <c r="C3" s="12">
        <f>SUM(C4,C5,C6,C7,C8,C9,,C10,C11,C12,C13,C16,C15,C14)</f>
        <v>587</v>
      </c>
    </row>
    <row r="4" spans="1:5" s="5" customFormat="1" x14ac:dyDescent="0.3">
      <c r="A4" s="4" t="s">
        <v>2</v>
      </c>
      <c r="B4" s="5">
        <v>280</v>
      </c>
      <c r="C4" s="5">
        <v>84</v>
      </c>
    </row>
    <row r="5" spans="1:5" x14ac:dyDescent="0.3">
      <c r="A5" s="4" t="s">
        <v>3</v>
      </c>
      <c r="B5" s="30">
        <v>260</v>
      </c>
      <c r="C5" s="30">
        <v>44</v>
      </c>
    </row>
    <row r="6" spans="1:5" x14ac:dyDescent="0.3">
      <c r="A6" s="4" t="s">
        <v>4</v>
      </c>
      <c r="B6" s="19">
        <v>741</v>
      </c>
      <c r="C6" s="6">
        <v>300</v>
      </c>
    </row>
    <row r="7" spans="1:5" x14ac:dyDescent="0.3">
      <c r="A7" s="4" t="s">
        <v>5</v>
      </c>
      <c r="B7" s="32">
        <v>532</v>
      </c>
      <c r="C7" s="5">
        <v>107</v>
      </c>
    </row>
    <row r="8" spans="1:5" s="15" customFormat="1" x14ac:dyDescent="0.3">
      <c r="A8" s="14" t="s">
        <v>6</v>
      </c>
      <c r="B8" s="6">
        <v>1</v>
      </c>
      <c r="C8" s="6">
        <v>0</v>
      </c>
    </row>
    <row r="9" spans="1:5" x14ac:dyDescent="0.3">
      <c r="A9" s="4" t="s">
        <v>7</v>
      </c>
      <c r="B9" s="5">
        <v>1</v>
      </c>
      <c r="C9" s="5">
        <v>0</v>
      </c>
    </row>
    <row r="10" spans="1:5" x14ac:dyDescent="0.3">
      <c r="A10" s="4" t="s">
        <v>8</v>
      </c>
      <c r="B10" s="5">
        <v>149</v>
      </c>
      <c r="C10" s="5">
        <v>21</v>
      </c>
    </row>
    <row r="11" spans="1:5" x14ac:dyDescent="0.3">
      <c r="A11" s="4" t="s">
        <v>9</v>
      </c>
      <c r="B11" s="5">
        <v>0</v>
      </c>
      <c r="C11" s="5">
        <v>0</v>
      </c>
    </row>
    <row r="12" spans="1:5" x14ac:dyDescent="0.3">
      <c r="A12" s="4" t="s">
        <v>10</v>
      </c>
      <c r="B12" s="5">
        <v>139</v>
      </c>
      <c r="C12" s="5">
        <v>31</v>
      </c>
    </row>
    <row r="13" spans="1:5" x14ac:dyDescent="0.3">
      <c r="A13" s="4" t="s">
        <v>11</v>
      </c>
      <c r="B13" s="5">
        <v>2</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A1:P24"/>
  <sheetViews>
    <sheetView zoomScale="110" zoomScaleNormal="130" workbookViewId="0">
      <selection activeCell="B15" sqref="B15"/>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175</v>
      </c>
      <c r="B1" s="44"/>
      <c r="C1" s="44"/>
      <c r="D1" s="44"/>
      <c r="E1" s="2"/>
    </row>
    <row r="2" spans="1:5" x14ac:dyDescent="0.3">
      <c r="B2" s="9" t="s">
        <v>1</v>
      </c>
      <c r="C2" s="10" t="s">
        <v>0</v>
      </c>
    </row>
    <row r="3" spans="1:5" ht="15" thickBot="1" x14ac:dyDescent="0.35">
      <c r="B3" s="20">
        <f>SUM(B4,B5,B6,B7,B8,B9,B10,B11,B12,B13,B16,B15,B14)</f>
        <v>2047</v>
      </c>
      <c r="C3" s="12">
        <f>SUM(C4,C5,C6,C7,C8,C9,,C10,C11,C12,C13,C16,C15,C14)</f>
        <v>553</v>
      </c>
    </row>
    <row r="4" spans="1:5" s="5" customFormat="1" x14ac:dyDescent="0.3">
      <c r="A4" s="4" t="s">
        <v>2</v>
      </c>
      <c r="B4" s="5">
        <v>255</v>
      </c>
      <c r="C4" s="5">
        <v>67</v>
      </c>
    </row>
    <row r="5" spans="1:5" x14ac:dyDescent="0.3">
      <c r="A5" s="4" t="s">
        <v>3</v>
      </c>
      <c r="B5" s="30">
        <v>248</v>
      </c>
      <c r="C5" s="30">
        <v>38</v>
      </c>
    </row>
    <row r="6" spans="1:5" x14ac:dyDescent="0.3">
      <c r="A6" s="4" t="s">
        <v>4</v>
      </c>
      <c r="B6" s="19">
        <v>699</v>
      </c>
      <c r="C6" s="6">
        <v>298</v>
      </c>
    </row>
    <row r="7" spans="1:5" x14ac:dyDescent="0.3">
      <c r="A7" s="4" t="s">
        <v>5</v>
      </c>
      <c r="B7" s="32">
        <v>553</v>
      </c>
      <c r="C7" s="5">
        <v>96</v>
      </c>
    </row>
    <row r="8" spans="1:5" s="15" customFormat="1" x14ac:dyDescent="0.3">
      <c r="A8" s="14" t="s">
        <v>6</v>
      </c>
      <c r="B8" s="6">
        <v>0</v>
      </c>
      <c r="C8" s="6">
        <v>1</v>
      </c>
    </row>
    <row r="9" spans="1:5" x14ac:dyDescent="0.3">
      <c r="A9" s="4" t="s">
        <v>7</v>
      </c>
      <c r="B9" s="5">
        <v>1</v>
      </c>
      <c r="C9" s="5">
        <v>0</v>
      </c>
    </row>
    <row r="10" spans="1:5" x14ac:dyDescent="0.3">
      <c r="A10" s="4" t="s">
        <v>8</v>
      </c>
      <c r="B10" s="5">
        <v>151</v>
      </c>
      <c r="C10" s="5">
        <v>23</v>
      </c>
    </row>
    <row r="11" spans="1:5" x14ac:dyDescent="0.3">
      <c r="A11" s="4" t="s">
        <v>9</v>
      </c>
      <c r="B11" s="5">
        <v>0</v>
      </c>
      <c r="C11" s="5">
        <v>0</v>
      </c>
    </row>
    <row r="12" spans="1:5" x14ac:dyDescent="0.3">
      <c r="A12" s="4" t="s">
        <v>10</v>
      </c>
      <c r="B12" s="5">
        <v>137</v>
      </c>
      <c r="C12" s="5">
        <v>30</v>
      </c>
    </row>
    <row r="13" spans="1:5" x14ac:dyDescent="0.3">
      <c r="A13" s="4" t="s">
        <v>11</v>
      </c>
      <c r="B13" s="5">
        <v>3</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A1:P24"/>
  <sheetViews>
    <sheetView zoomScale="110" zoomScaleNormal="130" workbookViewId="0">
      <selection activeCell="B14" sqref="B1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174</v>
      </c>
      <c r="B1" s="44"/>
      <c r="C1" s="44"/>
      <c r="D1" s="44"/>
      <c r="E1" s="2"/>
    </row>
    <row r="2" spans="1:5" x14ac:dyDescent="0.3">
      <c r="B2" s="9" t="s">
        <v>1</v>
      </c>
      <c r="C2" s="10" t="s">
        <v>0</v>
      </c>
    </row>
    <row r="3" spans="1:5" ht="15" thickBot="1" x14ac:dyDescent="0.35">
      <c r="B3" s="20">
        <f>SUM(B4,B5,B6,B7,B8,B9,B10,B11,B12,B13,B16,B15,B14)</f>
        <v>2017</v>
      </c>
      <c r="C3" s="12">
        <f>SUM(C4,C5,C6,C7,C8,C9,,C10,C11,C12,C13,C16,C15,C14)</f>
        <v>543</v>
      </c>
    </row>
    <row r="4" spans="1:5" s="5" customFormat="1" x14ac:dyDescent="0.3">
      <c r="A4" s="4" t="s">
        <v>2</v>
      </c>
      <c r="B4" s="5">
        <v>244</v>
      </c>
      <c r="C4" s="5">
        <v>68</v>
      </c>
    </row>
    <row r="5" spans="1:5" x14ac:dyDescent="0.3">
      <c r="A5" s="4" t="s">
        <v>3</v>
      </c>
      <c r="B5" s="30">
        <v>259</v>
      </c>
      <c r="C5" s="30">
        <v>38</v>
      </c>
    </row>
    <row r="6" spans="1:5" x14ac:dyDescent="0.3">
      <c r="A6" s="4" t="s">
        <v>4</v>
      </c>
      <c r="B6" s="19">
        <v>676</v>
      </c>
      <c r="C6" s="6">
        <v>282</v>
      </c>
    </row>
    <row r="7" spans="1:5" x14ac:dyDescent="0.3">
      <c r="A7" s="4" t="s">
        <v>5</v>
      </c>
      <c r="B7" s="32">
        <v>550</v>
      </c>
      <c r="C7" s="5">
        <v>106</v>
      </c>
    </row>
    <row r="8" spans="1:5" s="15" customFormat="1" x14ac:dyDescent="0.3">
      <c r="A8" s="14" t="s">
        <v>6</v>
      </c>
      <c r="B8" s="6">
        <v>1</v>
      </c>
      <c r="C8" s="6">
        <v>0</v>
      </c>
    </row>
    <row r="9" spans="1:5" x14ac:dyDescent="0.3">
      <c r="A9" s="4" t="s">
        <v>7</v>
      </c>
      <c r="B9" s="5">
        <v>1</v>
      </c>
      <c r="C9" s="5">
        <v>0</v>
      </c>
    </row>
    <row r="10" spans="1:5" x14ac:dyDescent="0.3">
      <c r="A10" s="4" t="s">
        <v>8</v>
      </c>
      <c r="B10" s="5">
        <v>154</v>
      </c>
      <c r="C10" s="5">
        <v>22</v>
      </c>
    </row>
    <row r="11" spans="1:5" x14ac:dyDescent="0.3">
      <c r="A11" s="4" t="s">
        <v>9</v>
      </c>
      <c r="B11" s="5">
        <v>0</v>
      </c>
      <c r="C11" s="5">
        <v>0</v>
      </c>
    </row>
    <row r="12" spans="1:5" x14ac:dyDescent="0.3">
      <c r="A12" s="4" t="s">
        <v>10</v>
      </c>
      <c r="B12" s="5">
        <v>129</v>
      </c>
      <c r="C12" s="5">
        <v>27</v>
      </c>
    </row>
    <row r="13" spans="1:5" x14ac:dyDescent="0.3">
      <c r="A13" s="4" t="s">
        <v>11</v>
      </c>
      <c r="B13" s="5">
        <v>3</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A1:P24"/>
  <sheetViews>
    <sheetView zoomScale="110" zoomScaleNormal="130" workbookViewId="0">
      <selection activeCell="B14" sqref="B1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173</v>
      </c>
      <c r="B1" s="44"/>
      <c r="C1" s="44"/>
      <c r="D1" s="44"/>
      <c r="E1" s="2"/>
    </row>
    <row r="2" spans="1:5" x14ac:dyDescent="0.3">
      <c r="B2" s="9" t="s">
        <v>1</v>
      </c>
      <c r="C2" s="10" t="s">
        <v>0</v>
      </c>
    </row>
    <row r="3" spans="1:5" ht="15" thickBot="1" x14ac:dyDescent="0.35">
      <c r="B3" s="20">
        <f>SUM(B4,B5,B6,B7,B8,B9,B10,B11,B12,B13,B16,B15,B14)</f>
        <v>2074</v>
      </c>
      <c r="C3" s="12">
        <f>SUM(C4,C5,C6,C7,C8,C9,,C10,C11,C12,C13,C16,C15,C14)</f>
        <v>549</v>
      </c>
    </row>
    <row r="4" spans="1:5" s="5" customFormat="1" x14ac:dyDescent="0.3">
      <c r="A4" s="4" t="s">
        <v>2</v>
      </c>
      <c r="B4" s="5">
        <v>248</v>
      </c>
      <c r="C4" s="5">
        <v>64</v>
      </c>
    </row>
    <row r="5" spans="1:5" x14ac:dyDescent="0.3">
      <c r="A5" s="4" t="s">
        <v>3</v>
      </c>
      <c r="B5" s="30">
        <v>245</v>
      </c>
      <c r="C5" s="30">
        <v>47</v>
      </c>
    </row>
    <row r="6" spans="1:5" x14ac:dyDescent="0.3">
      <c r="A6" s="4" t="s">
        <v>4</v>
      </c>
      <c r="B6" s="19">
        <v>643</v>
      </c>
      <c r="C6" s="6">
        <v>280</v>
      </c>
    </row>
    <row r="7" spans="1:5" x14ac:dyDescent="0.3">
      <c r="A7" s="4" t="s">
        <v>5</v>
      </c>
      <c r="B7" s="32">
        <v>617</v>
      </c>
      <c r="C7" s="5">
        <v>111</v>
      </c>
    </row>
    <row r="8" spans="1:5" s="15" customFormat="1" x14ac:dyDescent="0.3">
      <c r="A8" s="14" t="s">
        <v>6</v>
      </c>
      <c r="B8" s="6">
        <v>2</v>
      </c>
      <c r="C8" s="6">
        <v>1</v>
      </c>
    </row>
    <row r="9" spans="1:5" x14ac:dyDescent="0.3">
      <c r="A9" s="4" t="s">
        <v>7</v>
      </c>
      <c r="B9" s="5">
        <v>3</v>
      </c>
      <c r="C9" s="5">
        <v>2</v>
      </c>
    </row>
    <row r="10" spans="1:5" x14ac:dyDescent="0.3">
      <c r="A10" s="4" t="s">
        <v>8</v>
      </c>
      <c r="B10" s="5">
        <v>171</v>
      </c>
      <c r="C10" s="5">
        <v>24</v>
      </c>
    </row>
    <row r="11" spans="1:5" x14ac:dyDescent="0.3">
      <c r="A11" s="4" t="s">
        <v>9</v>
      </c>
      <c r="B11" s="5">
        <v>0</v>
      </c>
      <c r="C11" s="5">
        <v>0</v>
      </c>
    </row>
    <row r="12" spans="1:5" x14ac:dyDescent="0.3">
      <c r="A12" s="4" t="s">
        <v>10</v>
      </c>
      <c r="B12" s="5">
        <v>138</v>
      </c>
      <c r="C12" s="5">
        <v>20</v>
      </c>
    </row>
    <row r="13" spans="1:5" x14ac:dyDescent="0.3">
      <c r="A13" s="4" t="s">
        <v>11</v>
      </c>
      <c r="B13" s="5">
        <v>7</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A1:P24"/>
  <sheetViews>
    <sheetView zoomScale="110" zoomScaleNormal="130" workbookViewId="0">
      <selection activeCell="D12" sqref="D12"/>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172</v>
      </c>
      <c r="B1" s="44"/>
      <c r="C1" s="44"/>
      <c r="D1" s="44"/>
      <c r="E1" s="2"/>
    </row>
    <row r="2" spans="1:5" x14ac:dyDescent="0.3">
      <c r="B2" s="9" t="s">
        <v>1</v>
      </c>
      <c r="C2" s="10" t="s">
        <v>0</v>
      </c>
    </row>
    <row r="3" spans="1:5" ht="15" thickBot="1" x14ac:dyDescent="0.35">
      <c r="B3" s="20">
        <f>SUM(B4,B5,B6,B7,B8,B9,B10,B11,B12,B13,B16,B15,B14)</f>
        <v>2164</v>
      </c>
      <c r="C3" s="12">
        <f>SUM(C4,C5,C6,C7,C8,C9,,C10,C11,C12,C13,C16,C15,C14)</f>
        <v>572</v>
      </c>
    </row>
    <row r="4" spans="1:5" s="5" customFormat="1" x14ac:dyDescent="0.3">
      <c r="A4" s="4" t="s">
        <v>2</v>
      </c>
      <c r="B4" s="5">
        <v>243</v>
      </c>
      <c r="C4" s="5">
        <v>63</v>
      </c>
    </row>
    <row r="5" spans="1:5" x14ac:dyDescent="0.3">
      <c r="A5" s="4" t="s">
        <v>3</v>
      </c>
      <c r="B5" s="30">
        <v>261</v>
      </c>
      <c r="C5" s="30">
        <v>54</v>
      </c>
    </row>
    <row r="6" spans="1:5" x14ac:dyDescent="0.3">
      <c r="A6" s="4" t="s">
        <v>4</v>
      </c>
      <c r="B6" s="19">
        <v>677</v>
      </c>
      <c r="C6" s="6">
        <v>284</v>
      </c>
    </row>
    <row r="7" spans="1:5" x14ac:dyDescent="0.3">
      <c r="A7" s="4" t="s">
        <v>5</v>
      </c>
      <c r="B7" s="32">
        <v>628</v>
      </c>
      <c r="C7" s="5">
        <v>121</v>
      </c>
    </row>
    <row r="8" spans="1:5" s="15" customFormat="1" x14ac:dyDescent="0.3">
      <c r="A8" s="14" t="s">
        <v>6</v>
      </c>
      <c r="B8" s="6">
        <v>2</v>
      </c>
      <c r="C8" s="6">
        <v>2</v>
      </c>
    </row>
    <row r="9" spans="1:5" x14ac:dyDescent="0.3">
      <c r="A9" s="4" t="s">
        <v>7</v>
      </c>
      <c r="B9" s="5">
        <v>3</v>
      </c>
      <c r="C9" s="5">
        <v>3</v>
      </c>
    </row>
    <row r="10" spans="1:5" x14ac:dyDescent="0.3">
      <c r="A10" s="4" t="s">
        <v>8</v>
      </c>
      <c r="B10" s="5">
        <v>187</v>
      </c>
      <c r="C10" s="5">
        <v>25</v>
      </c>
    </row>
    <row r="11" spans="1:5" x14ac:dyDescent="0.3">
      <c r="A11" s="4" t="s">
        <v>9</v>
      </c>
      <c r="B11" s="5">
        <v>0</v>
      </c>
      <c r="C11" s="5">
        <v>0</v>
      </c>
    </row>
    <row r="12" spans="1:5" x14ac:dyDescent="0.3">
      <c r="A12" s="4" t="s">
        <v>10</v>
      </c>
      <c r="B12" s="5">
        <v>154</v>
      </c>
      <c r="C12" s="5">
        <v>20</v>
      </c>
    </row>
    <row r="13" spans="1:5" x14ac:dyDescent="0.3">
      <c r="A13" s="4" t="s">
        <v>11</v>
      </c>
      <c r="B13" s="5">
        <v>9</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A1:P24"/>
  <sheetViews>
    <sheetView zoomScale="110" zoomScaleNormal="130" workbookViewId="0">
      <selection activeCell="D17" sqref="D17"/>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171</v>
      </c>
      <c r="B1" s="44"/>
      <c r="C1" s="44"/>
      <c r="D1" s="44"/>
      <c r="E1" s="2"/>
    </row>
    <row r="2" spans="1:5" x14ac:dyDescent="0.3">
      <c r="B2" s="9" t="s">
        <v>1</v>
      </c>
      <c r="C2" s="10" t="s">
        <v>0</v>
      </c>
    </row>
    <row r="3" spans="1:5" ht="15" thickBot="1" x14ac:dyDescent="0.35">
      <c r="B3" s="20">
        <f>SUM(B4,B5,B6,B7,B8,B9,B10,B11,B12,B13,B16,B15,B14)</f>
        <v>2110</v>
      </c>
      <c r="C3" s="12">
        <f>SUM(C4,C5,C6,C7,C8,C9,,C10,C11,C12,C13,C16,C15,C14)</f>
        <v>559</v>
      </c>
    </row>
    <row r="4" spans="1:5" s="5" customFormat="1" x14ac:dyDescent="0.3">
      <c r="A4" s="4" t="s">
        <v>2</v>
      </c>
      <c r="B4" s="5">
        <v>232</v>
      </c>
      <c r="C4" s="5">
        <v>63</v>
      </c>
    </row>
    <row r="5" spans="1:5" x14ac:dyDescent="0.3">
      <c r="A5" s="4" t="s">
        <v>3</v>
      </c>
      <c r="B5" s="30">
        <v>250</v>
      </c>
      <c r="C5" s="30">
        <v>46</v>
      </c>
    </row>
    <row r="6" spans="1:5" x14ac:dyDescent="0.3">
      <c r="A6" s="4" t="s">
        <v>4</v>
      </c>
      <c r="B6" s="19">
        <v>659</v>
      </c>
      <c r="C6" s="6">
        <v>280</v>
      </c>
    </row>
    <row r="7" spans="1:5" x14ac:dyDescent="0.3">
      <c r="A7" s="4" t="s">
        <v>5</v>
      </c>
      <c r="B7" s="32">
        <v>612</v>
      </c>
      <c r="C7" s="5">
        <v>122</v>
      </c>
    </row>
    <row r="8" spans="1:5" s="15" customFormat="1" x14ac:dyDescent="0.3">
      <c r="A8" s="14" t="s">
        <v>6</v>
      </c>
      <c r="B8" s="6">
        <v>0</v>
      </c>
      <c r="C8" s="6">
        <v>2</v>
      </c>
    </row>
    <row r="9" spans="1:5" x14ac:dyDescent="0.3">
      <c r="A9" s="4" t="s">
        <v>7</v>
      </c>
      <c r="B9" s="5">
        <v>1</v>
      </c>
      <c r="C9" s="5">
        <v>1</v>
      </c>
    </row>
    <row r="10" spans="1:5" x14ac:dyDescent="0.3">
      <c r="A10" s="4" t="s">
        <v>8</v>
      </c>
      <c r="B10" s="5">
        <v>192</v>
      </c>
      <c r="C10" s="5">
        <v>26</v>
      </c>
    </row>
    <row r="11" spans="1:5" x14ac:dyDescent="0.3">
      <c r="A11" s="4" t="s">
        <v>9</v>
      </c>
      <c r="B11" s="5">
        <v>0</v>
      </c>
      <c r="C11" s="5">
        <v>0</v>
      </c>
    </row>
    <row r="12" spans="1:5" x14ac:dyDescent="0.3">
      <c r="A12" s="4" t="s">
        <v>10</v>
      </c>
      <c r="B12" s="5">
        <v>154</v>
      </c>
      <c r="C12" s="5">
        <v>19</v>
      </c>
    </row>
    <row r="13" spans="1:5" x14ac:dyDescent="0.3">
      <c r="A13" s="4" t="s">
        <v>11</v>
      </c>
      <c r="B13" s="5">
        <v>10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A1:P24"/>
  <sheetViews>
    <sheetView zoomScale="110" zoomScaleNormal="130" workbookViewId="0">
      <selection activeCell="C13" sqref="C13"/>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170</v>
      </c>
      <c r="B1" s="44"/>
      <c r="C1" s="44"/>
      <c r="D1" s="44"/>
      <c r="E1" s="2"/>
    </row>
    <row r="2" spans="1:5" x14ac:dyDescent="0.3">
      <c r="B2" s="9" t="s">
        <v>1</v>
      </c>
      <c r="C2" s="10" t="s">
        <v>0</v>
      </c>
    </row>
    <row r="3" spans="1:5" ht="15" thickBot="1" x14ac:dyDescent="0.35">
      <c r="B3" s="20">
        <f>SUM(B4,B5,B6,B7,B8,B9,B10,B11,B12,B13,B16,B15,B14)</f>
        <v>2153</v>
      </c>
      <c r="C3" s="12">
        <f>SUM(C4,C5,C6,C7,C8,C9,,C10,C11,C12,C13,C16,C15,C14)</f>
        <v>567</v>
      </c>
    </row>
    <row r="4" spans="1:5" s="5" customFormat="1" x14ac:dyDescent="0.3">
      <c r="A4" s="4" t="s">
        <v>2</v>
      </c>
      <c r="B4" s="5">
        <v>228</v>
      </c>
      <c r="C4" s="5">
        <v>62</v>
      </c>
    </row>
    <row r="5" spans="1:5" x14ac:dyDescent="0.3">
      <c r="A5" s="4" t="s">
        <v>3</v>
      </c>
      <c r="B5" s="30">
        <v>280</v>
      </c>
      <c r="C5" s="30">
        <v>56</v>
      </c>
    </row>
    <row r="6" spans="1:5" x14ac:dyDescent="0.3">
      <c r="A6" s="4" t="s">
        <v>4</v>
      </c>
      <c r="B6" s="19">
        <v>683</v>
      </c>
      <c r="C6" s="6">
        <v>284</v>
      </c>
    </row>
    <row r="7" spans="1:5" x14ac:dyDescent="0.3">
      <c r="A7" s="4" t="s">
        <v>5</v>
      </c>
      <c r="B7" s="32">
        <v>620</v>
      </c>
      <c r="C7" s="5">
        <v>119</v>
      </c>
    </row>
    <row r="8" spans="1:5" s="15" customFormat="1" x14ac:dyDescent="0.3">
      <c r="A8" s="14" t="s">
        <v>6</v>
      </c>
      <c r="B8" s="6">
        <v>0</v>
      </c>
      <c r="C8" s="6">
        <v>1</v>
      </c>
    </row>
    <row r="9" spans="1:5" x14ac:dyDescent="0.3">
      <c r="A9" s="4" t="s">
        <v>7</v>
      </c>
      <c r="B9" s="5">
        <v>1</v>
      </c>
      <c r="C9" s="5">
        <v>1</v>
      </c>
    </row>
    <row r="10" spans="1:5" x14ac:dyDescent="0.3">
      <c r="A10" s="4" t="s">
        <v>8</v>
      </c>
      <c r="B10" s="5">
        <v>191</v>
      </c>
      <c r="C10" s="5">
        <v>28</v>
      </c>
    </row>
    <row r="11" spans="1:5" x14ac:dyDescent="0.3">
      <c r="A11" s="4" t="s">
        <v>9</v>
      </c>
      <c r="B11" s="5">
        <v>0</v>
      </c>
      <c r="C11" s="5">
        <v>0</v>
      </c>
    </row>
    <row r="12" spans="1:5" x14ac:dyDescent="0.3">
      <c r="A12" s="4" t="s">
        <v>10</v>
      </c>
      <c r="B12" s="5">
        <v>139</v>
      </c>
      <c r="C12" s="5">
        <v>16</v>
      </c>
    </row>
    <row r="13" spans="1:5" x14ac:dyDescent="0.3">
      <c r="A13" s="4" t="s">
        <v>11</v>
      </c>
      <c r="B13" s="5">
        <v>11</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A1:P24"/>
  <sheetViews>
    <sheetView zoomScale="110" zoomScaleNormal="130" workbookViewId="0">
      <selection activeCell="D7" sqref="D7"/>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169</v>
      </c>
      <c r="B1" s="44"/>
      <c r="C1" s="44"/>
      <c r="D1" s="44"/>
      <c r="E1" s="2"/>
    </row>
    <row r="2" spans="1:5" x14ac:dyDescent="0.3">
      <c r="B2" s="9" t="s">
        <v>1</v>
      </c>
      <c r="C2" s="10" t="s">
        <v>0</v>
      </c>
    </row>
    <row r="3" spans="1:5" ht="15" thickBot="1" x14ac:dyDescent="0.35">
      <c r="B3" s="20">
        <f>SUM(B4,B5,B6,B7,B8,B9,B10,B11,B12,B13,B16,B15,B14)</f>
        <v>2275</v>
      </c>
      <c r="C3" s="12">
        <f>SUM(C4,C5,C6,C7,C8,C9,,C10,C11,C12,C13,C16,C15,C14)</f>
        <v>588</v>
      </c>
    </row>
    <row r="4" spans="1:5" s="5" customFormat="1" x14ac:dyDescent="0.3">
      <c r="A4" s="4" t="s">
        <v>2</v>
      </c>
      <c r="B4" s="5">
        <v>238</v>
      </c>
      <c r="C4" s="5">
        <v>69</v>
      </c>
    </row>
    <row r="5" spans="1:5" x14ac:dyDescent="0.3">
      <c r="A5" s="4" t="s">
        <v>3</v>
      </c>
      <c r="B5" s="30">
        <v>326</v>
      </c>
      <c r="C5" s="30">
        <v>51</v>
      </c>
    </row>
    <row r="6" spans="1:5" x14ac:dyDescent="0.3">
      <c r="A6" s="4" t="s">
        <v>4</v>
      </c>
      <c r="B6" s="19">
        <v>675</v>
      </c>
      <c r="C6" s="6">
        <v>287</v>
      </c>
    </row>
    <row r="7" spans="1:5" x14ac:dyDescent="0.3">
      <c r="A7" s="4" t="s">
        <v>5</v>
      </c>
      <c r="B7" s="32">
        <v>655</v>
      </c>
      <c r="C7" s="5">
        <v>130</v>
      </c>
    </row>
    <row r="8" spans="1:5" s="15" customFormat="1" x14ac:dyDescent="0.3">
      <c r="A8" s="14" t="s">
        <v>6</v>
      </c>
      <c r="B8" s="6">
        <v>0</v>
      </c>
      <c r="C8" s="6">
        <v>1</v>
      </c>
    </row>
    <row r="9" spans="1:5" x14ac:dyDescent="0.3">
      <c r="A9" s="4" t="s">
        <v>7</v>
      </c>
      <c r="B9" s="5">
        <v>2</v>
      </c>
      <c r="C9" s="5">
        <v>1</v>
      </c>
    </row>
    <row r="10" spans="1:5" x14ac:dyDescent="0.3">
      <c r="A10" s="4" t="s">
        <v>8</v>
      </c>
      <c r="B10" s="5">
        <v>216</v>
      </c>
      <c r="C10" s="5">
        <v>33</v>
      </c>
    </row>
    <row r="11" spans="1:5" x14ac:dyDescent="0.3">
      <c r="A11" s="4" t="s">
        <v>9</v>
      </c>
      <c r="B11" s="5">
        <v>0</v>
      </c>
      <c r="C11" s="5">
        <v>0</v>
      </c>
    </row>
    <row r="12" spans="1:5" x14ac:dyDescent="0.3">
      <c r="A12" s="4" t="s">
        <v>10</v>
      </c>
      <c r="B12" s="5">
        <v>158</v>
      </c>
      <c r="C12" s="5">
        <v>16</v>
      </c>
    </row>
    <row r="13" spans="1:5" x14ac:dyDescent="0.3">
      <c r="A13" s="4" t="s">
        <v>11</v>
      </c>
      <c r="B13" s="5">
        <v>5</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26"/>
  <sheetViews>
    <sheetView zoomScaleNormal="100" workbookViewId="0">
      <selection activeCell="M10" sqref="M10"/>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455</v>
      </c>
      <c r="B1" s="44"/>
      <c r="C1" s="44"/>
      <c r="D1" s="44"/>
      <c r="E1" s="2"/>
    </row>
    <row r="2" spans="1:5" x14ac:dyDescent="0.3">
      <c r="B2" s="9" t="s">
        <v>1</v>
      </c>
      <c r="C2" s="10" t="s">
        <v>0</v>
      </c>
    </row>
    <row r="3" spans="1:5" ht="15" thickBot="1" x14ac:dyDescent="0.35">
      <c r="B3" s="20">
        <f>SUM(B4,B5,B6,B7,B8,B9,B10,B11,B12,B13,B16,B15,B14)</f>
        <v>7052</v>
      </c>
      <c r="C3" s="12">
        <f>SUM(C4,C5,C6,C7,C8,C9,,C10,C11,C12,C13,C16,C15,C14)</f>
        <v>468</v>
      </c>
    </row>
    <row r="4" spans="1:5" s="5" customFormat="1" x14ac:dyDescent="0.3">
      <c r="A4" s="4" t="s">
        <v>2</v>
      </c>
      <c r="B4" s="18">
        <v>570</v>
      </c>
      <c r="C4" s="5">
        <v>47</v>
      </c>
    </row>
    <row r="5" spans="1:5" x14ac:dyDescent="0.3">
      <c r="A5" s="4" t="s">
        <v>3</v>
      </c>
      <c r="B5" s="30">
        <v>1220</v>
      </c>
      <c r="C5" s="30">
        <v>47</v>
      </c>
      <c r="D5" s="5"/>
    </row>
    <row r="6" spans="1:5" x14ac:dyDescent="0.3">
      <c r="A6" s="4" t="s">
        <v>4</v>
      </c>
      <c r="B6" s="19">
        <v>1679</v>
      </c>
      <c r="C6" s="6">
        <v>209</v>
      </c>
      <c r="D6" s="5"/>
    </row>
    <row r="7" spans="1:5" x14ac:dyDescent="0.3">
      <c r="A7" s="4" t="s">
        <v>5</v>
      </c>
      <c r="B7" s="32">
        <v>2290</v>
      </c>
      <c r="C7" s="5">
        <v>81</v>
      </c>
      <c r="D7" s="5"/>
    </row>
    <row r="8" spans="1:5" s="15" customFormat="1" x14ac:dyDescent="0.3">
      <c r="A8" s="14" t="s">
        <v>6</v>
      </c>
      <c r="B8" s="6">
        <v>66</v>
      </c>
      <c r="C8" s="6">
        <v>11</v>
      </c>
      <c r="D8" s="5"/>
    </row>
    <row r="9" spans="1:5" x14ac:dyDescent="0.3">
      <c r="A9" s="4" t="s">
        <v>7</v>
      </c>
      <c r="B9" s="5">
        <v>168</v>
      </c>
      <c r="C9" s="5">
        <v>19</v>
      </c>
      <c r="D9" s="5"/>
    </row>
    <row r="10" spans="1:5" x14ac:dyDescent="0.3">
      <c r="A10" s="4" t="s">
        <v>8</v>
      </c>
      <c r="B10" s="5">
        <v>579</v>
      </c>
      <c r="C10" s="5">
        <v>28</v>
      </c>
      <c r="D10" s="5"/>
    </row>
    <row r="11" spans="1:5" x14ac:dyDescent="0.3">
      <c r="A11" s="4" t="s">
        <v>9</v>
      </c>
      <c r="B11" s="5">
        <v>14</v>
      </c>
      <c r="C11" s="5">
        <v>1</v>
      </c>
      <c r="D11" s="5"/>
    </row>
    <row r="12" spans="1:5" x14ac:dyDescent="0.3">
      <c r="A12" s="4" t="s">
        <v>10</v>
      </c>
      <c r="B12" s="5">
        <v>409</v>
      </c>
      <c r="C12" s="5">
        <v>20</v>
      </c>
      <c r="D12" s="5"/>
    </row>
    <row r="13" spans="1:5" x14ac:dyDescent="0.3">
      <c r="A13" s="4" t="s">
        <v>11</v>
      </c>
      <c r="B13" s="5">
        <v>16</v>
      </c>
      <c r="C13" s="5">
        <v>4</v>
      </c>
      <c r="D13" s="5"/>
    </row>
    <row r="14" spans="1:5" x14ac:dyDescent="0.3">
      <c r="A14" s="4" t="s">
        <v>12</v>
      </c>
      <c r="B14" s="8">
        <v>8</v>
      </c>
      <c r="C14" s="7">
        <v>1</v>
      </c>
      <c r="D14" s="5"/>
    </row>
    <row r="15" spans="1:5" x14ac:dyDescent="0.3">
      <c r="A15" s="4" t="s">
        <v>13</v>
      </c>
      <c r="B15" s="5">
        <v>0</v>
      </c>
      <c r="C15" s="5">
        <v>0</v>
      </c>
      <c r="D15" s="5" t="s">
        <v>231</v>
      </c>
    </row>
    <row r="16" spans="1:5" x14ac:dyDescent="0.3">
      <c r="A16" s="4" t="s">
        <v>14</v>
      </c>
      <c r="B16" s="5">
        <v>33</v>
      </c>
      <c r="C16" s="5">
        <v>0</v>
      </c>
      <c r="D16" s="5"/>
    </row>
    <row r="17" spans="1:9" x14ac:dyDescent="0.3">
      <c r="B17" s="3"/>
    </row>
    <row r="20" spans="1:9" x14ac:dyDescent="0.3">
      <c r="A20" s="1" t="s">
        <v>122</v>
      </c>
    </row>
    <row r="21" spans="1:9" s="3" customFormat="1" x14ac:dyDescent="0.3">
      <c r="A21" s="33" t="s">
        <v>459</v>
      </c>
      <c r="B21" s="8"/>
    </row>
    <row r="22" spans="1:9" s="3" customFormat="1" x14ac:dyDescent="0.3">
      <c r="A22" s="34" t="s">
        <v>458</v>
      </c>
      <c r="B22" s="8"/>
    </row>
    <row r="23" spans="1:9" s="3" customFormat="1" x14ac:dyDescent="0.3">
      <c r="A23" s="35" t="s">
        <v>443</v>
      </c>
      <c r="B23" s="8"/>
    </row>
    <row r="24" spans="1:9" s="3" customFormat="1" x14ac:dyDescent="0.3">
      <c r="A24" s="33" t="s">
        <v>456</v>
      </c>
      <c r="B24" s="8"/>
    </row>
    <row r="25" spans="1:9" s="3" customFormat="1" x14ac:dyDescent="0.3">
      <c r="A25" s="36" t="s">
        <v>460</v>
      </c>
      <c r="B25" s="8"/>
    </row>
    <row r="26" spans="1:9" s="3" customFormat="1" x14ac:dyDescent="0.3">
      <c r="A26" s="33" t="s">
        <v>457</v>
      </c>
      <c r="B26" s="8"/>
      <c r="I26" s="3" t="s">
        <v>414</v>
      </c>
    </row>
  </sheetData>
  <mergeCells count="1">
    <mergeCell ref="A1:D1"/>
  </mergeCells>
  <hyperlinks>
    <hyperlink ref="A21" r:id="rId1" xr:uid="{00000000-0004-0000-0400-000000000000}"/>
    <hyperlink ref="A22" r:id="rId2" display="**** YT's official website is now informing the number of hospitalizations, which is 2 as of March 7th." xr:uid="{00000000-0004-0000-0400-000001000000}"/>
    <hyperlink ref="A23" r:id="rId3" display="***** NU's official website does not disclose the number of current hospitalizations, but according to the press as of March 9th, 33 people had been hospitalized since December 21st due to the Omicron wave. That number does not represent the total number " xr:uid="{00000000-0004-0000-0400-000002000000}"/>
    <hyperlink ref="A24" r:id="rId4" xr:uid="{00000000-0004-0000-0400-000003000000}"/>
    <hyperlink ref="A26" r:id="rId5" xr:uid="{00000000-0004-0000-0400-000004000000}"/>
    <hyperlink ref="A25" r:id="rId6" xr:uid="{00000000-0004-0000-0400-000005000000}"/>
  </hyperlinks>
  <pageMargins left="0.7" right="0.7" top="0.75" bottom="0.75" header="0.3" footer="0.3"/>
  <pageSetup orientation="portrait" r:id="rId7"/>
  <drawing r:id="rId8"/>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dimension ref="A1:P24"/>
  <sheetViews>
    <sheetView zoomScale="110" zoomScaleNormal="130" workbookViewId="0">
      <selection activeCell="B14" sqref="B1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168</v>
      </c>
      <c r="B1" s="44"/>
      <c r="C1" s="44"/>
      <c r="D1" s="44"/>
      <c r="E1" s="2"/>
    </row>
    <row r="2" spans="1:5" x14ac:dyDescent="0.3">
      <c r="B2" s="9" t="s">
        <v>1</v>
      </c>
      <c r="C2" s="10" t="s">
        <v>0</v>
      </c>
    </row>
    <row r="3" spans="1:5" ht="15" thickBot="1" x14ac:dyDescent="0.35">
      <c r="B3" s="20">
        <f>SUM(B4,B5,B6,B7,B8,B9,B10,B11,B12,B13,B16,B15,B14)</f>
        <v>2273</v>
      </c>
      <c r="C3" s="12">
        <f>SUM(C4,C5,C6,C7,C8,C9,,C10,C11,C12,C13,C16,C15,C14)</f>
        <v>556</v>
      </c>
    </row>
    <row r="4" spans="1:5" s="5" customFormat="1" x14ac:dyDescent="0.3">
      <c r="A4" s="4" t="s">
        <v>2</v>
      </c>
      <c r="B4" s="5">
        <v>217</v>
      </c>
      <c r="C4" s="5">
        <v>61</v>
      </c>
    </row>
    <row r="5" spans="1:5" x14ac:dyDescent="0.3">
      <c r="A5" s="4" t="s">
        <v>3</v>
      </c>
      <c r="B5" s="30">
        <v>321</v>
      </c>
      <c r="C5" s="30">
        <v>53</v>
      </c>
    </row>
    <row r="6" spans="1:5" x14ac:dyDescent="0.3">
      <c r="A6" s="4" t="s">
        <v>4</v>
      </c>
      <c r="B6" s="19">
        <v>660</v>
      </c>
      <c r="C6" s="6">
        <v>277</v>
      </c>
    </row>
    <row r="7" spans="1:5" x14ac:dyDescent="0.3">
      <c r="A7" s="4" t="s">
        <v>5</v>
      </c>
      <c r="B7" s="32">
        <v>686</v>
      </c>
      <c r="C7" s="5">
        <v>119</v>
      </c>
    </row>
    <row r="8" spans="1:5" s="15" customFormat="1" x14ac:dyDescent="0.3">
      <c r="A8" s="14" t="s">
        <v>6</v>
      </c>
      <c r="B8" s="6">
        <v>0</v>
      </c>
      <c r="C8" s="6">
        <v>1</v>
      </c>
    </row>
    <row r="9" spans="1:5" x14ac:dyDescent="0.3">
      <c r="A9" s="4" t="s">
        <v>7</v>
      </c>
      <c r="B9" s="5">
        <v>2</v>
      </c>
      <c r="C9" s="5">
        <v>1</v>
      </c>
    </row>
    <row r="10" spans="1:5" x14ac:dyDescent="0.3">
      <c r="A10" s="4" t="s">
        <v>8</v>
      </c>
      <c r="B10" s="5">
        <v>208</v>
      </c>
      <c r="C10" s="5">
        <v>31</v>
      </c>
    </row>
    <row r="11" spans="1:5" x14ac:dyDescent="0.3">
      <c r="A11" s="4" t="s">
        <v>9</v>
      </c>
      <c r="B11" s="5">
        <v>0</v>
      </c>
      <c r="C11" s="5">
        <v>0</v>
      </c>
    </row>
    <row r="12" spans="1:5" x14ac:dyDescent="0.3">
      <c r="A12" s="4" t="s">
        <v>10</v>
      </c>
      <c r="B12" s="5">
        <v>176</v>
      </c>
      <c r="C12" s="5">
        <v>13</v>
      </c>
    </row>
    <row r="13" spans="1:5" x14ac:dyDescent="0.3">
      <c r="A13" s="4" t="s">
        <v>11</v>
      </c>
      <c r="B13" s="5">
        <v>3</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dimension ref="A1:P24"/>
  <sheetViews>
    <sheetView zoomScale="110" zoomScaleNormal="130" workbookViewId="0">
      <selection activeCell="D9" sqref="D9"/>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167</v>
      </c>
      <c r="B1" s="44"/>
      <c r="C1" s="44"/>
      <c r="D1" s="44"/>
      <c r="E1" s="2"/>
    </row>
    <row r="2" spans="1:5" x14ac:dyDescent="0.3">
      <c r="B2" s="9" t="s">
        <v>1</v>
      </c>
      <c r="C2" s="10" t="s">
        <v>0</v>
      </c>
    </row>
    <row r="3" spans="1:5" ht="15" thickBot="1" x14ac:dyDescent="0.35">
      <c r="B3" s="20">
        <f>SUM(B4,B5,B6,B7,B8,B9,B10,B11,B12,B13,B16,B15,B14)</f>
        <v>2389</v>
      </c>
      <c r="C3" s="12">
        <f>SUM(C4,C5,C6,C7,C8,C9,,C10,C11,C12,C13,C16,C15,C14)</f>
        <v>581</v>
      </c>
    </row>
    <row r="4" spans="1:5" s="5" customFormat="1" x14ac:dyDescent="0.3">
      <c r="A4" s="4" t="s">
        <v>2</v>
      </c>
      <c r="B4" s="5">
        <v>232</v>
      </c>
      <c r="C4" s="5">
        <v>63</v>
      </c>
    </row>
    <row r="5" spans="1:5" x14ac:dyDescent="0.3">
      <c r="A5" s="4" t="s">
        <v>3</v>
      </c>
      <c r="B5" s="30">
        <v>270</v>
      </c>
      <c r="C5" s="30">
        <v>60</v>
      </c>
    </row>
    <row r="6" spans="1:5" x14ac:dyDescent="0.3">
      <c r="A6" s="4" t="s">
        <v>4</v>
      </c>
      <c r="B6" s="19">
        <v>758</v>
      </c>
      <c r="C6" s="6">
        <v>277</v>
      </c>
    </row>
    <row r="7" spans="1:5" x14ac:dyDescent="0.3">
      <c r="A7" s="4" t="s">
        <v>5</v>
      </c>
      <c r="B7" s="32">
        <v>747</v>
      </c>
      <c r="C7" s="5">
        <v>129</v>
      </c>
    </row>
    <row r="8" spans="1:5" s="15" customFormat="1" x14ac:dyDescent="0.3">
      <c r="A8" s="14" t="s">
        <v>6</v>
      </c>
      <c r="B8" s="6">
        <v>0</v>
      </c>
      <c r="C8" s="6">
        <v>1</v>
      </c>
    </row>
    <row r="9" spans="1:5" x14ac:dyDescent="0.3">
      <c r="A9" s="4" t="s">
        <v>7</v>
      </c>
      <c r="B9" s="5">
        <v>5</v>
      </c>
      <c r="C9" s="5">
        <v>1</v>
      </c>
    </row>
    <row r="10" spans="1:5" x14ac:dyDescent="0.3">
      <c r="A10" s="4" t="s">
        <v>8</v>
      </c>
      <c r="B10" s="5">
        <v>224</v>
      </c>
      <c r="C10" s="5">
        <v>27</v>
      </c>
    </row>
    <row r="11" spans="1:5" x14ac:dyDescent="0.3">
      <c r="A11" s="4" t="s">
        <v>9</v>
      </c>
      <c r="B11" s="5">
        <v>0</v>
      </c>
      <c r="C11" s="5">
        <v>0</v>
      </c>
    </row>
    <row r="12" spans="1:5" x14ac:dyDescent="0.3">
      <c r="A12" s="4" t="s">
        <v>10</v>
      </c>
      <c r="B12" s="5">
        <v>151</v>
      </c>
      <c r="C12" s="5">
        <v>23</v>
      </c>
    </row>
    <row r="13" spans="1:5" x14ac:dyDescent="0.3">
      <c r="A13" s="4" t="s">
        <v>11</v>
      </c>
      <c r="B13" s="5">
        <v>2</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dimension ref="A1:P24"/>
  <sheetViews>
    <sheetView zoomScale="110" zoomScaleNormal="130" workbookViewId="0">
      <selection activeCell="D6" sqref="D6"/>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166</v>
      </c>
      <c r="B1" s="44"/>
      <c r="C1" s="44"/>
      <c r="D1" s="44"/>
      <c r="E1" s="2"/>
    </row>
    <row r="2" spans="1:5" x14ac:dyDescent="0.3">
      <c r="B2" s="9" t="s">
        <v>1</v>
      </c>
      <c r="C2" s="10" t="s">
        <v>0</v>
      </c>
    </row>
    <row r="3" spans="1:5" ht="15" thickBot="1" x14ac:dyDescent="0.35">
      <c r="B3" s="20">
        <f>SUM(B4,B5,B6,B7,B8,B9,B10,B11,B12,B13,B16,B15,B14)</f>
        <v>2496</v>
      </c>
      <c r="C3" s="12">
        <f>SUM(C4,C5,C6,C7,C8,C9,,C10,C11,C12,C13,C16,C15,C14)</f>
        <v>594</v>
      </c>
    </row>
    <row r="4" spans="1:5" s="5" customFormat="1" x14ac:dyDescent="0.3">
      <c r="A4" s="4" t="s">
        <v>2</v>
      </c>
      <c r="B4" s="5">
        <v>226</v>
      </c>
      <c r="C4" s="5">
        <v>61</v>
      </c>
    </row>
    <row r="5" spans="1:5" x14ac:dyDescent="0.3">
      <c r="A5" s="4" t="s">
        <v>3</v>
      </c>
      <c r="B5" s="30">
        <v>356</v>
      </c>
      <c r="C5" s="30">
        <v>58</v>
      </c>
    </row>
    <row r="6" spans="1:5" x14ac:dyDescent="0.3">
      <c r="A6" s="4" t="s">
        <v>4</v>
      </c>
      <c r="B6" s="19">
        <v>742</v>
      </c>
      <c r="C6" s="6">
        <v>292</v>
      </c>
    </row>
    <row r="7" spans="1:5" x14ac:dyDescent="0.3">
      <c r="A7" s="4" t="s">
        <v>5</v>
      </c>
      <c r="B7" s="32">
        <v>771</v>
      </c>
      <c r="C7" s="5">
        <v>134</v>
      </c>
    </row>
    <row r="8" spans="1:5" s="15" customFormat="1" x14ac:dyDescent="0.3">
      <c r="A8" s="14" t="s">
        <v>6</v>
      </c>
      <c r="B8" s="6">
        <v>0</v>
      </c>
      <c r="C8" s="6">
        <v>1</v>
      </c>
    </row>
    <row r="9" spans="1:5" x14ac:dyDescent="0.3">
      <c r="A9" s="4" t="s">
        <v>7</v>
      </c>
      <c r="B9" s="5">
        <v>6</v>
      </c>
      <c r="C9" s="5">
        <v>2</v>
      </c>
    </row>
    <row r="10" spans="1:5" x14ac:dyDescent="0.3">
      <c r="A10" s="4" t="s">
        <v>8</v>
      </c>
      <c r="B10" s="5">
        <v>230</v>
      </c>
      <c r="C10" s="5">
        <v>26</v>
      </c>
    </row>
    <row r="11" spans="1:5" x14ac:dyDescent="0.3">
      <c r="A11" s="4" t="s">
        <v>9</v>
      </c>
      <c r="B11" s="5">
        <v>0</v>
      </c>
      <c r="C11" s="5">
        <v>0</v>
      </c>
    </row>
    <row r="12" spans="1:5" x14ac:dyDescent="0.3">
      <c r="A12" s="4" t="s">
        <v>10</v>
      </c>
      <c r="B12" s="5">
        <v>164</v>
      </c>
      <c r="C12" s="5">
        <v>20</v>
      </c>
    </row>
    <row r="13" spans="1:5" x14ac:dyDescent="0.3">
      <c r="A13" s="4" t="s">
        <v>11</v>
      </c>
      <c r="B13" s="5">
        <v>1</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dimension ref="A1:P24"/>
  <sheetViews>
    <sheetView zoomScale="110" zoomScaleNormal="130" workbookViewId="0">
      <selection activeCell="B13" sqref="B13"/>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165</v>
      </c>
      <c r="B1" s="44"/>
      <c r="C1" s="44"/>
      <c r="D1" s="44"/>
      <c r="E1" s="2"/>
    </row>
    <row r="2" spans="1:5" x14ac:dyDescent="0.3">
      <c r="B2" s="9" t="s">
        <v>1</v>
      </c>
      <c r="C2" s="10" t="s">
        <v>0</v>
      </c>
    </row>
    <row r="3" spans="1:5" ht="15" thickBot="1" x14ac:dyDescent="0.35">
      <c r="B3" s="20">
        <f>SUM(B4,B5,B6,B7,B8,B9,B10,B11,B12,B13,B16,B15,B14)</f>
        <v>2642</v>
      </c>
      <c r="C3" s="12">
        <f>SUM(C4,C5,C6,C7,C8,C9,,C10,C11,C12,C13,C16,C15,C14)</f>
        <v>622</v>
      </c>
    </row>
    <row r="4" spans="1:5" s="5" customFormat="1" x14ac:dyDescent="0.3">
      <c r="A4" s="4" t="s">
        <v>2</v>
      </c>
      <c r="B4" s="5">
        <v>224</v>
      </c>
      <c r="C4" s="5">
        <v>63</v>
      </c>
    </row>
    <row r="5" spans="1:5" x14ac:dyDescent="0.3">
      <c r="A5" s="4" t="s">
        <v>3</v>
      </c>
      <c r="B5" s="30">
        <v>397</v>
      </c>
      <c r="C5" s="30">
        <v>71</v>
      </c>
    </row>
    <row r="6" spans="1:5" x14ac:dyDescent="0.3">
      <c r="A6" s="4" t="s">
        <v>4</v>
      </c>
      <c r="B6" s="19">
        <v>763</v>
      </c>
      <c r="C6" s="6">
        <v>295</v>
      </c>
    </row>
    <row r="7" spans="1:5" x14ac:dyDescent="0.3">
      <c r="A7" s="4" t="s">
        <v>5</v>
      </c>
      <c r="B7" s="32">
        <v>849</v>
      </c>
      <c r="C7" s="5">
        <v>137</v>
      </c>
    </row>
    <row r="8" spans="1:5" s="15" customFormat="1" x14ac:dyDescent="0.3">
      <c r="A8" s="14" t="s">
        <v>6</v>
      </c>
      <c r="B8" s="6">
        <v>0</v>
      </c>
      <c r="C8" s="6">
        <v>1</v>
      </c>
    </row>
    <row r="9" spans="1:5" x14ac:dyDescent="0.3">
      <c r="A9" s="4" t="s">
        <v>7</v>
      </c>
      <c r="B9" s="5">
        <v>6</v>
      </c>
      <c r="C9" s="5">
        <v>2</v>
      </c>
    </row>
    <row r="10" spans="1:5" x14ac:dyDescent="0.3">
      <c r="A10" s="4" t="s">
        <v>8</v>
      </c>
      <c r="B10" s="5">
        <v>240</v>
      </c>
      <c r="C10" s="5">
        <v>29</v>
      </c>
    </row>
    <row r="11" spans="1:5" x14ac:dyDescent="0.3">
      <c r="A11" s="4" t="s">
        <v>9</v>
      </c>
      <c r="B11" s="5">
        <v>0</v>
      </c>
      <c r="C11" s="5">
        <v>0</v>
      </c>
    </row>
    <row r="12" spans="1:5" x14ac:dyDescent="0.3">
      <c r="A12" s="4" t="s">
        <v>10</v>
      </c>
      <c r="B12" s="5">
        <v>163</v>
      </c>
      <c r="C12" s="5">
        <v>24</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dimension ref="A1:P24"/>
  <sheetViews>
    <sheetView zoomScale="110" zoomScaleNormal="130" workbookViewId="0">
      <selection activeCell="D18" sqref="D18"/>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164</v>
      </c>
      <c r="B1" s="44"/>
      <c r="C1" s="44"/>
      <c r="D1" s="44"/>
      <c r="E1" s="2"/>
    </row>
    <row r="2" spans="1:5" x14ac:dyDescent="0.3">
      <c r="B2" s="9" t="s">
        <v>1</v>
      </c>
      <c r="C2" s="10" t="s">
        <v>0</v>
      </c>
    </row>
    <row r="3" spans="1:5" ht="15" thickBot="1" x14ac:dyDescent="0.35">
      <c r="B3" s="20">
        <f>SUM(B4,B5,B6,B7,B8,B9,B10,B11,B12,B13,B16,B15,B14)</f>
        <v>2991</v>
      </c>
      <c r="C3" s="12">
        <f>SUM(C4,C5,C6,C7,C8,C9,,C10,C11,C12,C13,C16,C15,C14)</f>
        <v>672</v>
      </c>
    </row>
    <row r="4" spans="1:5" s="5" customFormat="1" x14ac:dyDescent="0.3">
      <c r="A4" s="4" t="s">
        <v>2</v>
      </c>
      <c r="B4" s="5">
        <v>241</v>
      </c>
      <c r="C4" s="5">
        <v>68</v>
      </c>
    </row>
    <row r="5" spans="1:5" x14ac:dyDescent="0.3">
      <c r="A5" s="4" t="s">
        <v>3</v>
      </c>
      <c r="B5" s="30">
        <v>427</v>
      </c>
      <c r="C5" s="30">
        <v>78</v>
      </c>
    </row>
    <row r="6" spans="1:5" x14ac:dyDescent="0.3">
      <c r="A6" s="4" t="s">
        <v>4</v>
      </c>
      <c r="B6" s="19">
        <v>948</v>
      </c>
      <c r="C6" s="6">
        <v>313</v>
      </c>
    </row>
    <row r="7" spans="1:5" x14ac:dyDescent="0.3">
      <c r="A7" s="4" t="s">
        <v>5</v>
      </c>
      <c r="B7" s="32">
        <v>918</v>
      </c>
      <c r="C7" s="5">
        <v>148</v>
      </c>
    </row>
    <row r="8" spans="1:5" s="15" customFormat="1" x14ac:dyDescent="0.3">
      <c r="A8" s="14" t="s">
        <v>6</v>
      </c>
      <c r="B8" s="6">
        <v>0</v>
      </c>
      <c r="C8" s="6">
        <v>1</v>
      </c>
    </row>
    <row r="9" spans="1:5" x14ac:dyDescent="0.3">
      <c r="A9" s="4" t="s">
        <v>7</v>
      </c>
      <c r="B9" s="5">
        <v>6</v>
      </c>
      <c r="C9" s="5">
        <v>2</v>
      </c>
    </row>
    <row r="10" spans="1:5" x14ac:dyDescent="0.3">
      <c r="A10" s="4" t="s">
        <v>8</v>
      </c>
      <c r="B10" s="5">
        <v>255</v>
      </c>
      <c r="C10" s="5">
        <v>34</v>
      </c>
    </row>
    <row r="11" spans="1:5" x14ac:dyDescent="0.3">
      <c r="A11" s="4" t="s">
        <v>9</v>
      </c>
      <c r="B11" s="5">
        <v>0</v>
      </c>
      <c r="C11" s="5">
        <v>0</v>
      </c>
    </row>
    <row r="12" spans="1:5" x14ac:dyDescent="0.3">
      <c r="A12" s="4" t="s">
        <v>10</v>
      </c>
      <c r="B12" s="5">
        <v>196</v>
      </c>
      <c r="C12" s="5">
        <v>28</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dimension ref="A1:P24"/>
  <sheetViews>
    <sheetView zoomScale="110" zoomScaleNormal="130" workbookViewId="0">
      <selection activeCell="D25" sqref="D25"/>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163</v>
      </c>
      <c r="B1" s="44"/>
      <c r="C1" s="44"/>
      <c r="D1" s="44"/>
      <c r="E1" s="2"/>
    </row>
    <row r="2" spans="1:5" x14ac:dyDescent="0.3">
      <c r="B2" s="9" t="s">
        <v>1</v>
      </c>
      <c r="C2" s="10" t="s">
        <v>0</v>
      </c>
    </row>
    <row r="3" spans="1:5" ht="15" thickBot="1" x14ac:dyDescent="0.35">
      <c r="B3" s="20">
        <f>SUM(B4,B5,B6,B7,B8,B9,B10,B11,B12,B13,B16,B15,B14)</f>
        <v>3019</v>
      </c>
      <c r="C3" s="12">
        <f>SUM(C4,C5,C6,C7,C8,C9,,C10,C11,C12,C13,C16,C15,C14)</f>
        <v>713</v>
      </c>
    </row>
    <row r="4" spans="1:5" s="5" customFormat="1" x14ac:dyDescent="0.3">
      <c r="A4" s="4" t="s">
        <v>2</v>
      </c>
      <c r="B4" s="5">
        <v>253</v>
      </c>
      <c r="C4" s="5">
        <v>70</v>
      </c>
    </row>
    <row r="5" spans="1:5" x14ac:dyDescent="0.3">
      <c r="A5" s="4" t="s">
        <v>3</v>
      </c>
      <c r="B5" s="30">
        <v>434</v>
      </c>
      <c r="C5" s="30">
        <v>81</v>
      </c>
    </row>
    <row r="6" spans="1:5" x14ac:dyDescent="0.3">
      <c r="A6" s="4" t="s">
        <v>4</v>
      </c>
      <c r="B6" s="19">
        <v>901</v>
      </c>
      <c r="C6" s="6">
        <v>335</v>
      </c>
    </row>
    <row r="7" spans="1:5" x14ac:dyDescent="0.3">
      <c r="A7" s="4" t="s">
        <v>5</v>
      </c>
      <c r="B7" s="32">
        <v>969</v>
      </c>
      <c r="C7" s="5">
        <v>160</v>
      </c>
    </row>
    <row r="8" spans="1:5" s="15" customFormat="1" x14ac:dyDescent="0.3">
      <c r="A8" s="14" t="s">
        <v>6</v>
      </c>
      <c r="B8" s="6">
        <v>0</v>
      </c>
      <c r="C8" s="6">
        <v>1</v>
      </c>
    </row>
    <row r="9" spans="1:5" x14ac:dyDescent="0.3">
      <c r="A9" s="4" t="s">
        <v>7</v>
      </c>
      <c r="B9" s="5">
        <v>7</v>
      </c>
      <c r="C9" s="5">
        <v>2</v>
      </c>
    </row>
    <row r="10" spans="1:5" x14ac:dyDescent="0.3">
      <c r="A10" s="4" t="s">
        <v>8</v>
      </c>
      <c r="B10" s="5">
        <v>271</v>
      </c>
      <c r="C10" s="5">
        <v>34</v>
      </c>
    </row>
    <row r="11" spans="1:5" x14ac:dyDescent="0.3">
      <c r="A11" s="4" t="s">
        <v>9</v>
      </c>
      <c r="B11" s="5">
        <v>0</v>
      </c>
      <c r="C11" s="5">
        <v>0</v>
      </c>
    </row>
    <row r="12" spans="1:5" x14ac:dyDescent="0.3">
      <c r="A12" s="4" t="s">
        <v>10</v>
      </c>
      <c r="B12" s="5">
        <v>184</v>
      </c>
      <c r="C12" s="5">
        <v>30</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dimension ref="A1:P24"/>
  <sheetViews>
    <sheetView zoomScale="110" zoomScaleNormal="130" workbookViewId="0">
      <selection activeCell="C13" sqref="C13"/>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162</v>
      </c>
      <c r="B1" s="44"/>
      <c r="C1" s="44"/>
      <c r="D1" s="44"/>
      <c r="E1" s="2"/>
    </row>
    <row r="2" spans="1:5" x14ac:dyDescent="0.3">
      <c r="B2" s="9" t="s">
        <v>1</v>
      </c>
      <c r="C2" s="10" t="s">
        <v>0</v>
      </c>
    </row>
    <row r="3" spans="1:5" ht="15" thickBot="1" x14ac:dyDescent="0.35">
      <c r="B3" s="20">
        <f>SUM(B4,B5,B6,B7,B8,B9,B10,B11,B12,B13,B16,B15,B14)</f>
        <v>3401</v>
      </c>
      <c r="C3" s="12">
        <f>SUM(C4,C5,C6,C7,C8,C9,,C10,C11,C12,C13,C16,C15,C14)</f>
        <v>736</v>
      </c>
    </row>
    <row r="4" spans="1:5" s="5" customFormat="1" x14ac:dyDescent="0.3">
      <c r="A4" s="4" t="s">
        <v>2</v>
      </c>
      <c r="B4" s="5">
        <v>257</v>
      </c>
      <c r="C4" s="5">
        <v>76</v>
      </c>
    </row>
    <row r="5" spans="1:5" x14ac:dyDescent="0.3">
      <c r="A5" s="4" t="s">
        <v>3</v>
      </c>
      <c r="B5" s="30">
        <v>517</v>
      </c>
      <c r="C5" s="30">
        <v>93</v>
      </c>
    </row>
    <row r="6" spans="1:5" x14ac:dyDescent="0.3">
      <c r="A6" s="4" t="s">
        <v>4</v>
      </c>
      <c r="B6" s="19">
        <v>1101</v>
      </c>
      <c r="C6" s="6">
        <v>323</v>
      </c>
    </row>
    <row r="7" spans="1:5" x14ac:dyDescent="0.3">
      <c r="A7" s="4" t="s">
        <v>5</v>
      </c>
      <c r="B7" s="32">
        <v>1070</v>
      </c>
      <c r="C7" s="5">
        <v>175</v>
      </c>
    </row>
    <row r="8" spans="1:5" s="15" customFormat="1" x14ac:dyDescent="0.3">
      <c r="A8" s="14" t="s">
        <v>6</v>
      </c>
      <c r="B8" s="6">
        <v>1</v>
      </c>
      <c r="C8" s="6">
        <v>1</v>
      </c>
    </row>
    <row r="9" spans="1:5" x14ac:dyDescent="0.3">
      <c r="A9" s="4" t="s">
        <v>7</v>
      </c>
      <c r="B9" s="5">
        <v>5</v>
      </c>
      <c r="C9" s="5">
        <v>2</v>
      </c>
    </row>
    <row r="10" spans="1:5" x14ac:dyDescent="0.3">
      <c r="A10" s="4" t="s">
        <v>8</v>
      </c>
      <c r="B10" s="5">
        <v>264</v>
      </c>
      <c r="C10" s="5">
        <v>36</v>
      </c>
    </row>
    <row r="11" spans="1:5" x14ac:dyDescent="0.3">
      <c r="A11" s="4" t="s">
        <v>9</v>
      </c>
      <c r="B11" s="5">
        <v>0</v>
      </c>
      <c r="C11" s="5">
        <v>0</v>
      </c>
    </row>
    <row r="12" spans="1:5" x14ac:dyDescent="0.3">
      <c r="A12" s="4" t="s">
        <v>10</v>
      </c>
      <c r="B12" s="5">
        <v>186</v>
      </c>
      <c r="C12" s="5">
        <v>30</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dimension ref="A1:P24"/>
  <sheetViews>
    <sheetView zoomScale="103" zoomScaleNormal="130" workbookViewId="0">
      <selection activeCell="B13" sqref="B13"/>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161</v>
      </c>
      <c r="B1" s="44"/>
      <c r="C1" s="44"/>
      <c r="D1" s="44"/>
      <c r="E1" s="2"/>
    </row>
    <row r="2" spans="1:5" x14ac:dyDescent="0.3">
      <c r="B2" s="9" t="s">
        <v>1</v>
      </c>
      <c r="C2" s="10" t="s">
        <v>0</v>
      </c>
    </row>
    <row r="3" spans="1:5" ht="15" thickBot="1" x14ac:dyDescent="0.35">
      <c r="B3" s="20">
        <f>SUM(B4,B5,B6,B7,B8,B9,B10,B11,B12,B13,B16,B15,B14)</f>
        <v>3491</v>
      </c>
      <c r="C3" s="12">
        <f>SUM(C4,C5,C6,C7,C8,C9,,C10,C11,C12,C13,C16,C15,C14)</f>
        <v>760</v>
      </c>
    </row>
    <row r="4" spans="1:5" s="5" customFormat="1" x14ac:dyDescent="0.3">
      <c r="A4" s="4" t="s">
        <v>2</v>
      </c>
      <c r="B4" s="5">
        <v>294</v>
      </c>
      <c r="C4" s="5">
        <v>82</v>
      </c>
    </row>
    <row r="5" spans="1:5" x14ac:dyDescent="0.3">
      <c r="A5" s="4" t="s">
        <v>3</v>
      </c>
      <c r="B5" s="30">
        <v>556</v>
      </c>
      <c r="C5" s="30">
        <v>97</v>
      </c>
    </row>
    <row r="6" spans="1:5" x14ac:dyDescent="0.3">
      <c r="A6" s="4" t="s">
        <v>4</v>
      </c>
      <c r="B6" s="19">
        <v>1066</v>
      </c>
      <c r="C6" s="6">
        <v>336</v>
      </c>
    </row>
    <row r="7" spans="1:5" x14ac:dyDescent="0.3">
      <c r="A7" s="4" t="s">
        <v>5</v>
      </c>
      <c r="B7" s="32">
        <v>1106</v>
      </c>
      <c r="C7" s="5">
        <v>177</v>
      </c>
    </row>
    <row r="8" spans="1:5" s="15" customFormat="1" x14ac:dyDescent="0.3">
      <c r="A8" s="14" t="s">
        <v>6</v>
      </c>
      <c r="B8" s="6">
        <v>1</v>
      </c>
      <c r="C8" s="6">
        <v>1</v>
      </c>
    </row>
    <row r="9" spans="1:5" x14ac:dyDescent="0.3">
      <c r="A9" s="4" t="s">
        <v>7</v>
      </c>
      <c r="B9" s="5">
        <v>5</v>
      </c>
      <c r="C9" s="5">
        <v>3</v>
      </c>
    </row>
    <row r="10" spans="1:5" x14ac:dyDescent="0.3">
      <c r="A10" s="4" t="s">
        <v>8</v>
      </c>
      <c r="B10" s="5">
        <v>260</v>
      </c>
      <c r="C10" s="5">
        <v>34</v>
      </c>
    </row>
    <row r="11" spans="1:5" x14ac:dyDescent="0.3">
      <c r="A11" s="4" t="s">
        <v>9</v>
      </c>
      <c r="B11" s="5">
        <v>0</v>
      </c>
      <c r="C11" s="5">
        <v>0</v>
      </c>
    </row>
    <row r="12" spans="1:5" x14ac:dyDescent="0.3">
      <c r="A12" s="4" t="s">
        <v>10</v>
      </c>
      <c r="B12" s="5">
        <v>202</v>
      </c>
      <c r="C12" s="5">
        <v>30</v>
      </c>
    </row>
    <row r="13" spans="1:5" x14ac:dyDescent="0.3">
      <c r="A13" s="4" t="s">
        <v>11</v>
      </c>
      <c r="B13" s="5">
        <v>1</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dimension ref="A1:P24"/>
  <sheetViews>
    <sheetView zoomScale="103" zoomScaleNormal="130" workbookViewId="0">
      <selection activeCell="B7" sqref="B7"/>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160</v>
      </c>
      <c r="B1" s="44"/>
      <c r="C1" s="44"/>
      <c r="D1" s="44"/>
      <c r="E1" s="2"/>
    </row>
    <row r="2" spans="1:5" x14ac:dyDescent="0.3">
      <c r="B2" s="9" t="s">
        <v>1</v>
      </c>
      <c r="C2" s="10" t="s">
        <v>0</v>
      </c>
    </row>
    <row r="3" spans="1:5" ht="15" thickBot="1" x14ac:dyDescent="0.35">
      <c r="B3" s="20">
        <f>SUM(B4,B5,B6,B7,B8,B9,B10,B11,B12,B13,B16,B15,B14)</f>
        <v>3617</v>
      </c>
      <c r="C3" s="12">
        <f>SUM(C4,C5,C6,C7,C8,C9,,C10,C11,C12,C13,C16,C15,C14)</f>
        <v>783</v>
      </c>
    </row>
    <row r="4" spans="1:5" s="5" customFormat="1" x14ac:dyDescent="0.3">
      <c r="A4" s="4" t="s">
        <v>2</v>
      </c>
      <c r="B4" s="5">
        <v>292</v>
      </c>
      <c r="C4" s="5">
        <v>74</v>
      </c>
    </row>
    <row r="5" spans="1:5" x14ac:dyDescent="0.3">
      <c r="A5" s="4" t="s">
        <v>3</v>
      </c>
      <c r="B5" s="30">
        <v>561</v>
      </c>
      <c r="C5" s="30">
        <v>101</v>
      </c>
    </row>
    <row r="6" spans="1:5" x14ac:dyDescent="0.3">
      <c r="A6" s="4" t="s">
        <v>4</v>
      </c>
      <c r="B6" s="19">
        <v>1158</v>
      </c>
      <c r="C6" s="6">
        <v>354</v>
      </c>
    </row>
    <row r="7" spans="1:5" x14ac:dyDescent="0.3">
      <c r="A7" s="4" t="s">
        <v>5</v>
      </c>
      <c r="B7" s="32">
        <v>1144</v>
      </c>
      <c r="C7" s="5">
        <v>183</v>
      </c>
    </row>
    <row r="8" spans="1:5" s="15" customFormat="1" x14ac:dyDescent="0.3">
      <c r="A8" s="14" t="s">
        <v>6</v>
      </c>
      <c r="B8" s="6">
        <v>1</v>
      </c>
      <c r="C8" s="6">
        <v>1</v>
      </c>
    </row>
    <row r="9" spans="1:5" x14ac:dyDescent="0.3">
      <c r="A9" s="4" t="s">
        <v>7</v>
      </c>
      <c r="B9" s="5">
        <v>3</v>
      </c>
      <c r="C9" s="5">
        <v>2</v>
      </c>
    </row>
    <row r="10" spans="1:5" x14ac:dyDescent="0.3">
      <c r="A10" s="4" t="s">
        <v>8</v>
      </c>
      <c r="B10" s="5">
        <v>255</v>
      </c>
      <c r="C10" s="5">
        <v>38</v>
      </c>
    </row>
    <row r="11" spans="1:5" x14ac:dyDescent="0.3">
      <c r="A11" s="4" t="s">
        <v>9</v>
      </c>
      <c r="B11" s="5">
        <v>0</v>
      </c>
      <c r="C11" s="5">
        <v>0</v>
      </c>
    </row>
    <row r="12" spans="1:5" x14ac:dyDescent="0.3">
      <c r="A12" s="4" t="s">
        <v>10</v>
      </c>
      <c r="B12" s="5">
        <v>202</v>
      </c>
      <c r="C12" s="5">
        <v>30</v>
      </c>
    </row>
    <row r="13" spans="1:5" x14ac:dyDescent="0.3">
      <c r="A13" s="4" t="s">
        <v>11</v>
      </c>
      <c r="B13" s="5">
        <v>1</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dimension ref="A1:P24"/>
  <sheetViews>
    <sheetView zoomScale="103" zoomScaleNormal="130" workbookViewId="0">
      <selection activeCell="D17" sqref="D17"/>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159</v>
      </c>
      <c r="B1" s="44"/>
      <c r="C1" s="44"/>
      <c r="D1" s="44"/>
      <c r="E1" s="2"/>
    </row>
    <row r="2" spans="1:5" x14ac:dyDescent="0.3">
      <c r="B2" s="9" t="s">
        <v>1</v>
      </c>
      <c r="C2" s="10" t="s">
        <v>0</v>
      </c>
    </row>
    <row r="3" spans="1:5" ht="15" thickBot="1" x14ac:dyDescent="0.35">
      <c r="B3" s="20">
        <f>SUM(B4,B5,B6,B7,B8,B9,B10,B11,B12,B13,B16,B15,B14)</f>
        <v>3843</v>
      </c>
      <c r="C3" s="12">
        <f>SUM(C4,C5,C6,C7,C8,C9,,C10,C11,C12,C13,C16,C15,C14)</f>
        <v>830</v>
      </c>
    </row>
    <row r="4" spans="1:5" s="5" customFormat="1" x14ac:dyDescent="0.3">
      <c r="A4" s="4" t="s">
        <v>2</v>
      </c>
      <c r="B4" s="5">
        <v>291</v>
      </c>
      <c r="C4" s="5">
        <v>75</v>
      </c>
    </row>
    <row r="5" spans="1:5" x14ac:dyDescent="0.3">
      <c r="A5" s="4" t="s">
        <v>3</v>
      </c>
      <c r="B5" s="30">
        <v>591</v>
      </c>
      <c r="C5" s="30">
        <v>112</v>
      </c>
    </row>
    <row r="6" spans="1:5" x14ac:dyDescent="0.3">
      <c r="A6" s="4" t="s">
        <v>4</v>
      </c>
      <c r="B6" s="19">
        <v>1291</v>
      </c>
      <c r="C6" s="6">
        <v>360</v>
      </c>
    </row>
    <row r="7" spans="1:5" x14ac:dyDescent="0.3">
      <c r="A7" s="4" t="s">
        <v>5</v>
      </c>
      <c r="B7" s="32">
        <v>1217</v>
      </c>
      <c r="C7" s="5">
        <v>209</v>
      </c>
    </row>
    <row r="8" spans="1:5" s="15" customFormat="1" x14ac:dyDescent="0.3">
      <c r="A8" s="14" t="s">
        <v>6</v>
      </c>
      <c r="B8" s="6">
        <v>1</v>
      </c>
      <c r="C8" s="6">
        <v>0</v>
      </c>
    </row>
    <row r="9" spans="1:5" x14ac:dyDescent="0.3">
      <c r="A9" s="4" t="s">
        <v>7</v>
      </c>
      <c r="B9" s="5">
        <v>4</v>
      </c>
      <c r="C9" s="5">
        <v>2</v>
      </c>
    </row>
    <row r="10" spans="1:5" x14ac:dyDescent="0.3">
      <c r="A10" s="4" t="s">
        <v>8</v>
      </c>
      <c r="B10" s="5">
        <v>272</v>
      </c>
      <c r="C10" s="5">
        <v>39</v>
      </c>
    </row>
    <row r="11" spans="1:5" x14ac:dyDescent="0.3">
      <c r="A11" s="4" t="s">
        <v>9</v>
      </c>
      <c r="B11" s="5">
        <v>0</v>
      </c>
      <c r="C11" s="5">
        <v>0</v>
      </c>
    </row>
    <row r="12" spans="1:5" x14ac:dyDescent="0.3">
      <c r="A12" s="4" t="s">
        <v>10</v>
      </c>
      <c r="B12" s="5">
        <v>175</v>
      </c>
      <c r="C12" s="5">
        <v>33</v>
      </c>
    </row>
    <row r="13" spans="1:5" x14ac:dyDescent="0.3">
      <c r="A13" s="4" t="s">
        <v>11</v>
      </c>
      <c r="B13" s="5">
        <v>1</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26"/>
  <sheetViews>
    <sheetView zoomScaleNormal="100" workbookViewId="0">
      <selection activeCell="A26" sqref="A26"/>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450</v>
      </c>
      <c r="B1" s="44"/>
      <c r="C1" s="44"/>
      <c r="D1" s="44"/>
      <c r="E1" s="2"/>
    </row>
    <row r="2" spans="1:5" x14ac:dyDescent="0.3">
      <c r="B2" s="9" t="s">
        <v>1</v>
      </c>
      <c r="C2" s="10" t="s">
        <v>0</v>
      </c>
    </row>
    <row r="3" spans="1:5" ht="15" thickBot="1" x14ac:dyDescent="0.35">
      <c r="B3" s="20">
        <f>SUM(B4,B5,B6,B7,B8,B9,B10,B11,B12,B13,B16,B15,B14)</f>
        <v>6907</v>
      </c>
      <c r="C3" s="12">
        <f>SUM(C4,C5,C6,C7,C8,C9,,C10,C11,C12,C13,C16,C15,C14)</f>
        <v>471</v>
      </c>
    </row>
    <row r="4" spans="1:5" s="5" customFormat="1" x14ac:dyDescent="0.3">
      <c r="A4" s="4" t="s">
        <v>2</v>
      </c>
      <c r="B4" s="18">
        <v>485</v>
      </c>
      <c r="C4" s="5">
        <v>38</v>
      </c>
    </row>
    <row r="5" spans="1:5" x14ac:dyDescent="0.3">
      <c r="A5" s="4" t="s">
        <v>3</v>
      </c>
      <c r="B5" s="30">
        <v>1126</v>
      </c>
      <c r="C5" s="30">
        <v>43</v>
      </c>
      <c r="D5" s="5"/>
    </row>
    <row r="6" spans="1:5" x14ac:dyDescent="0.3">
      <c r="A6" s="4" t="s">
        <v>4</v>
      </c>
      <c r="B6" s="19">
        <v>1591</v>
      </c>
      <c r="C6" s="6">
        <v>214</v>
      </c>
      <c r="D6" s="5"/>
    </row>
    <row r="7" spans="1:5" x14ac:dyDescent="0.3">
      <c r="A7" s="4" t="s">
        <v>5</v>
      </c>
      <c r="B7" s="32">
        <v>2410</v>
      </c>
      <c r="C7" s="5">
        <v>88</v>
      </c>
      <c r="D7" s="5"/>
    </row>
    <row r="8" spans="1:5" s="15" customFormat="1" x14ac:dyDescent="0.3">
      <c r="A8" s="14" t="s">
        <v>6</v>
      </c>
      <c r="B8" s="6">
        <v>64</v>
      </c>
      <c r="C8" s="6">
        <v>11</v>
      </c>
      <c r="D8" s="5"/>
    </row>
    <row r="9" spans="1:5" x14ac:dyDescent="0.3">
      <c r="A9" s="4" t="s">
        <v>7</v>
      </c>
      <c r="B9" s="5">
        <v>192</v>
      </c>
      <c r="C9" s="5">
        <v>21</v>
      </c>
      <c r="D9" s="5"/>
    </row>
    <row r="10" spans="1:5" x14ac:dyDescent="0.3">
      <c r="A10" s="4" t="s">
        <v>8</v>
      </c>
      <c r="B10" s="5">
        <v>538</v>
      </c>
      <c r="C10" s="5">
        <v>22</v>
      </c>
      <c r="D10" s="5"/>
    </row>
    <row r="11" spans="1:5" x14ac:dyDescent="0.3">
      <c r="A11" s="4" t="s">
        <v>9</v>
      </c>
      <c r="B11" s="5">
        <v>16</v>
      </c>
      <c r="C11" s="5">
        <v>2</v>
      </c>
      <c r="D11" s="5"/>
    </row>
    <row r="12" spans="1:5" x14ac:dyDescent="0.3">
      <c r="A12" s="4" t="s">
        <v>10</v>
      </c>
      <c r="B12" s="5">
        <v>417</v>
      </c>
      <c r="C12" s="5">
        <v>25</v>
      </c>
      <c r="D12" s="5"/>
    </row>
    <row r="13" spans="1:5" x14ac:dyDescent="0.3">
      <c r="A13" s="4" t="s">
        <v>11</v>
      </c>
      <c r="B13" s="5">
        <v>25</v>
      </c>
      <c r="C13" s="5">
        <v>7</v>
      </c>
      <c r="D13" s="5"/>
    </row>
    <row r="14" spans="1:5" x14ac:dyDescent="0.3">
      <c r="A14" s="4" t="s">
        <v>12</v>
      </c>
      <c r="B14" s="8">
        <v>8</v>
      </c>
      <c r="C14" s="7">
        <v>0</v>
      </c>
      <c r="D14" s="5"/>
    </row>
    <row r="15" spans="1:5" x14ac:dyDescent="0.3">
      <c r="A15" s="4" t="s">
        <v>13</v>
      </c>
      <c r="B15" s="5">
        <v>2</v>
      </c>
      <c r="C15" s="5">
        <v>0</v>
      </c>
      <c r="D15" s="5" t="s">
        <v>231</v>
      </c>
    </row>
    <row r="16" spans="1:5" x14ac:dyDescent="0.3">
      <c r="A16" s="4" t="s">
        <v>14</v>
      </c>
      <c r="B16" s="5">
        <v>33</v>
      </c>
      <c r="C16" s="5">
        <v>0</v>
      </c>
      <c r="D16" s="5"/>
    </row>
    <row r="17" spans="1:9" x14ac:dyDescent="0.3">
      <c r="B17" s="3"/>
    </row>
    <row r="20" spans="1:9" x14ac:dyDescent="0.3">
      <c r="A20" s="1" t="s">
        <v>122</v>
      </c>
    </row>
    <row r="21" spans="1:9" s="3" customFormat="1" x14ac:dyDescent="0.3">
      <c r="A21" s="33" t="s">
        <v>441</v>
      </c>
      <c r="B21" s="8"/>
    </row>
    <row r="22" spans="1:9" s="3" customFormat="1" x14ac:dyDescent="0.3">
      <c r="A22" s="34" t="s">
        <v>454</v>
      </c>
      <c r="B22" s="8"/>
    </row>
    <row r="23" spans="1:9" s="3" customFormat="1" x14ac:dyDescent="0.3">
      <c r="A23" s="35" t="s">
        <v>443</v>
      </c>
      <c r="B23" s="8"/>
    </row>
    <row r="24" spans="1:9" s="3" customFormat="1" x14ac:dyDescent="0.3">
      <c r="A24" s="33" t="s">
        <v>451</v>
      </c>
      <c r="B24" s="8"/>
    </row>
    <row r="25" spans="1:9" s="3" customFormat="1" x14ac:dyDescent="0.3">
      <c r="A25" s="36" t="s">
        <v>452</v>
      </c>
      <c r="B25" s="8"/>
    </row>
    <row r="26" spans="1:9" s="3" customFormat="1" x14ac:dyDescent="0.3">
      <c r="A26" s="33" t="s">
        <v>453</v>
      </c>
      <c r="B26" s="8"/>
      <c r="I26" s="3" t="s">
        <v>414</v>
      </c>
    </row>
  </sheetData>
  <mergeCells count="1">
    <mergeCell ref="A1:D1"/>
  </mergeCells>
  <hyperlinks>
    <hyperlink ref="A21" r:id="rId1" display="*** NT's official website does not disclose the number of current hospitalizations, but according to the press, as of March 23th, there were 8 people in hospital with Covid-19." xr:uid="{00000000-0004-0000-0500-000000000000}"/>
    <hyperlink ref="A22" r:id="rId2" display="**** YT's official website is now informing the number of hospitalizations, which is 2 as of March 7th." xr:uid="{00000000-0004-0000-0500-000001000000}"/>
    <hyperlink ref="A23" r:id="rId3" display="***** NU's official website does not disclose the number of current hospitalizations, but according to the press as of March 9th, 33 people had been hospitalized since December 21st due to the Omicron wave. That number does not represent the total number " xr:uid="{00000000-0004-0000-0500-000002000000}"/>
    <hyperlink ref="A24" r:id="rId4" xr:uid="{00000000-0004-0000-0500-000003000000}"/>
    <hyperlink ref="A26" r:id="rId5" xr:uid="{00000000-0004-0000-0500-000004000000}"/>
    <hyperlink ref="A25" r:id="rId6" xr:uid="{00000000-0004-0000-0500-000005000000}"/>
  </hyperlinks>
  <pageMargins left="0.7" right="0.7" top="0.75" bottom="0.75" header="0.3" footer="0.3"/>
  <pageSetup orientation="portrait" r:id="rId7"/>
  <drawing r:id="rId8"/>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dimension ref="A1:P24"/>
  <sheetViews>
    <sheetView zoomScale="103" zoomScaleNormal="130" workbookViewId="0">
      <selection activeCell="C17" sqref="C17"/>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158</v>
      </c>
      <c r="B1" s="44"/>
      <c r="C1" s="44"/>
      <c r="D1" s="44"/>
      <c r="E1" s="2"/>
    </row>
    <row r="2" spans="1:5" x14ac:dyDescent="0.3">
      <c r="B2" s="9" t="s">
        <v>1</v>
      </c>
      <c r="C2" s="10" t="s">
        <v>0</v>
      </c>
    </row>
    <row r="3" spans="1:5" ht="15" thickBot="1" x14ac:dyDescent="0.35">
      <c r="B3" s="20">
        <f>SUM(B4,B5,B6,B7,B8,B9,B10,B11,B12,B13,B16,B15,B14)</f>
        <v>4074</v>
      </c>
      <c r="C3" s="12">
        <f>SUM(C4,C5,C6,C7,C8,C9,,C10,C11,C12,C13,C16,C15,C14)</f>
        <v>848</v>
      </c>
    </row>
    <row r="4" spans="1:5" s="5" customFormat="1" x14ac:dyDescent="0.3">
      <c r="A4" s="4" t="s">
        <v>2</v>
      </c>
      <c r="B4" s="5">
        <v>313</v>
      </c>
      <c r="C4" s="5">
        <v>71</v>
      </c>
    </row>
    <row r="5" spans="1:5" x14ac:dyDescent="0.3">
      <c r="A5" s="4" t="s">
        <v>3</v>
      </c>
      <c r="B5" s="30">
        <v>626</v>
      </c>
      <c r="C5" s="30">
        <v>108</v>
      </c>
    </row>
    <row r="6" spans="1:5" x14ac:dyDescent="0.3">
      <c r="A6" s="4" t="s">
        <v>4</v>
      </c>
      <c r="B6" s="19">
        <v>1382</v>
      </c>
      <c r="C6" s="6">
        <v>377</v>
      </c>
    </row>
    <row r="7" spans="1:5" x14ac:dyDescent="0.3">
      <c r="A7" s="4" t="s">
        <v>5</v>
      </c>
      <c r="B7" s="32">
        <v>1290</v>
      </c>
      <c r="C7" s="5">
        <v>221</v>
      </c>
    </row>
    <row r="8" spans="1:5" s="15" customFormat="1" x14ac:dyDescent="0.3">
      <c r="A8" s="14" t="s">
        <v>6</v>
      </c>
      <c r="B8" s="6">
        <v>0</v>
      </c>
      <c r="C8" s="6">
        <v>0</v>
      </c>
    </row>
    <row r="9" spans="1:5" x14ac:dyDescent="0.3">
      <c r="A9" s="4" t="s">
        <v>7</v>
      </c>
      <c r="B9" s="5">
        <v>6</v>
      </c>
      <c r="C9" s="5">
        <v>2</v>
      </c>
    </row>
    <row r="10" spans="1:5" x14ac:dyDescent="0.3">
      <c r="A10" s="4" t="s">
        <v>8</v>
      </c>
      <c r="B10" s="5">
        <v>281</v>
      </c>
      <c r="C10" s="5">
        <v>36</v>
      </c>
    </row>
    <row r="11" spans="1:5" x14ac:dyDescent="0.3">
      <c r="A11" s="4" t="s">
        <v>9</v>
      </c>
      <c r="B11" s="5">
        <v>0</v>
      </c>
      <c r="C11" s="5">
        <v>0</v>
      </c>
    </row>
    <row r="12" spans="1:5" x14ac:dyDescent="0.3">
      <c r="A12" s="4" t="s">
        <v>10</v>
      </c>
      <c r="B12" s="5">
        <v>175</v>
      </c>
      <c r="C12" s="5">
        <v>33</v>
      </c>
    </row>
    <row r="13" spans="1:5" x14ac:dyDescent="0.3">
      <c r="A13" s="4" t="s">
        <v>11</v>
      </c>
      <c r="B13" s="5">
        <v>1</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dimension ref="A1:P24"/>
  <sheetViews>
    <sheetView zoomScale="103" zoomScaleNormal="130" workbookViewId="0">
      <selection activeCell="E20" sqref="E20"/>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157</v>
      </c>
      <c r="B1" s="44"/>
      <c r="C1" s="44"/>
      <c r="D1" s="44"/>
      <c r="E1" s="2"/>
    </row>
    <row r="2" spans="1:5" x14ac:dyDescent="0.3">
      <c r="B2" s="9" t="s">
        <v>1</v>
      </c>
      <c r="C2" s="10" t="s">
        <v>0</v>
      </c>
    </row>
    <row r="3" spans="1:5" ht="15" thickBot="1" x14ac:dyDescent="0.35">
      <c r="B3" s="20">
        <f>SUM(B4,B5,B6,B7,B8,B9,B10,B11,B12,B13,B16,B15,B14)</f>
        <v>4210</v>
      </c>
      <c r="C3" s="12">
        <f>SUM(C4,C5,C6,C7,C8,C9,,C10,C11,C12,C13,C16,C15,C14)</f>
        <v>872</v>
      </c>
    </row>
    <row r="4" spans="1:5" s="5" customFormat="1" x14ac:dyDescent="0.3">
      <c r="A4" s="4" t="s">
        <v>2</v>
      </c>
      <c r="B4" s="5">
        <v>315</v>
      </c>
      <c r="C4" s="5">
        <v>74</v>
      </c>
    </row>
    <row r="5" spans="1:5" x14ac:dyDescent="0.3">
      <c r="A5" s="4" t="s">
        <v>3</v>
      </c>
      <c r="B5" s="30">
        <v>652</v>
      </c>
      <c r="C5" s="30">
        <v>111</v>
      </c>
    </row>
    <row r="6" spans="1:5" x14ac:dyDescent="0.3">
      <c r="A6" s="4" t="s">
        <v>4</v>
      </c>
      <c r="B6" s="19">
        <v>1436</v>
      </c>
      <c r="C6" s="6">
        <v>392</v>
      </c>
    </row>
    <row r="7" spans="1:5" x14ac:dyDescent="0.3">
      <c r="A7" s="4" t="s">
        <v>5</v>
      </c>
      <c r="B7" s="32">
        <v>1327</v>
      </c>
      <c r="C7" s="5">
        <v>219</v>
      </c>
    </row>
    <row r="8" spans="1:5" s="15" customFormat="1" x14ac:dyDescent="0.3">
      <c r="A8" s="14" t="s">
        <v>6</v>
      </c>
      <c r="B8" s="6">
        <v>0</v>
      </c>
      <c r="C8" s="6">
        <v>0</v>
      </c>
    </row>
    <row r="9" spans="1:5" x14ac:dyDescent="0.3">
      <c r="A9" s="4" t="s">
        <v>7</v>
      </c>
      <c r="B9" s="5">
        <v>5</v>
      </c>
      <c r="C9" s="5">
        <v>2</v>
      </c>
    </row>
    <row r="10" spans="1:5" x14ac:dyDescent="0.3">
      <c r="A10" s="4" t="s">
        <v>8</v>
      </c>
      <c r="B10" s="5">
        <v>278</v>
      </c>
      <c r="C10" s="5">
        <v>42</v>
      </c>
    </row>
    <row r="11" spans="1:5" x14ac:dyDescent="0.3">
      <c r="A11" s="4" t="s">
        <v>9</v>
      </c>
      <c r="B11" s="5">
        <v>0</v>
      </c>
      <c r="C11" s="5">
        <v>0</v>
      </c>
    </row>
    <row r="12" spans="1:5" x14ac:dyDescent="0.3">
      <c r="A12" s="4" t="s">
        <v>10</v>
      </c>
      <c r="B12" s="5">
        <v>196</v>
      </c>
      <c r="C12" s="5">
        <v>32</v>
      </c>
    </row>
    <row r="13" spans="1:5" x14ac:dyDescent="0.3">
      <c r="A13" s="4" t="s">
        <v>11</v>
      </c>
      <c r="B13" s="5">
        <v>1</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dimension ref="A1:P24"/>
  <sheetViews>
    <sheetView zoomScale="103" zoomScaleNormal="130" workbookViewId="0">
      <selection activeCell="D10" sqref="D10"/>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156</v>
      </c>
      <c r="B1" s="44"/>
      <c r="C1" s="44"/>
      <c r="D1" s="44"/>
      <c r="E1" s="2"/>
    </row>
    <row r="2" spans="1:5" x14ac:dyDescent="0.3">
      <c r="B2" s="9" t="s">
        <v>1</v>
      </c>
      <c r="C2" s="10" t="s">
        <v>0</v>
      </c>
    </row>
    <row r="3" spans="1:5" ht="15" thickBot="1" x14ac:dyDescent="0.35">
      <c r="B3" s="20">
        <f>SUM(B4,B5,B6,B7,B8,B9,B10,B11,B12,B13,B16,B15,B14)</f>
        <v>4442</v>
      </c>
      <c r="C3" s="12">
        <f>SUM(C4,C5,C6,C7,C8,C9,,C10,C11,C12,C13,C16,C15,C14)</f>
        <v>849</v>
      </c>
    </row>
    <row r="4" spans="1:5" s="5" customFormat="1" x14ac:dyDescent="0.3">
      <c r="A4" s="4" t="s">
        <v>2</v>
      </c>
      <c r="B4" s="5">
        <v>309</v>
      </c>
      <c r="C4" s="5">
        <v>68</v>
      </c>
    </row>
    <row r="5" spans="1:5" x14ac:dyDescent="0.3">
      <c r="A5" s="4" t="s">
        <v>3</v>
      </c>
      <c r="B5" s="30">
        <v>726</v>
      </c>
      <c r="C5" s="30">
        <v>119</v>
      </c>
    </row>
    <row r="6" spans="1:5" x14ac:dyDescent="0.3">
      <c r="A6" s="4" t="s">
        <v>4</v>
      </c>
      <c r="B6" s="19">
        <v>1512</v>
      </c>
      <c r="C6" s="6">
        <v>383</v>
      </c>
    </row>
    <row r="7" spans="1:5" x14ac:dyDescent="0.3">
      <c r="A7" s="4" t="s">
        <v>5</v>
      </c>
      <c r="B7" s="32">
        <v>1426</v>
      </c>
      <c r="C7" s="5">
        <v>212</v>
      </c>
    </row>
    <row r="8" spans="1:5" s="15" customFormat="1" x14ac:dyDescent="0.3">
      <c r="A8" s="14" t="s">
        <v>6</v>
      </c>
      <c r="B8" s="6">
        <v>0</v>
      </c>
      <c r="C8" s="6">
        <v>0</v>
      </c>
    </row>
    <row r="9" spans="1:5" x14ac:dyDescent="0.3">
      <c r="A9" s="4" t="s">
        <v>7</v>
      </c>
      <c r="B9" s="5">
        <v>3</v>
      </c>
      <c r="C9" s="5">
        <v>2</v>
      </c>
    </row>
    <row r="10" spans="1:5" x14ac:dyDescent="0.3">
      <c r="A10" s="4" t="s">
        <v>8</v>
      </c>
      <c r="B10" s="5">
        <v>268</v>
      </c>
      <c r="C10" s="5">
        <v>34</v>
      </c>
    </row>
    <row r="11" spans="1:5" x14ac:dyDescent="0.3">
      <c r="A11" s="4" t="s">
        <v>9</v>
      </c>
      <c r="B11" s="5">
        <v>0</v>
      </c>
      <c r="C11" s="5">
        <v>0</v>
      </c>
    </row>
    <row r="12" spans="1:5" x14ac:dyDescent="0.3">
      <c r="A12" s="4" t="s">
        <v>10</v>
      </c>
      <c r="B12" s="5">
        <v>197</v>
      </c>
      <c r="C12" s="5">
        <v>31</v>
      </c>
    </row>
    <row r="13" spans="1:5" x14ac:dyDescent="0.3">
      <c r="A13" s="4" t="s">
        <v>11</v>
      </c>
      <c r="B13" s="5">
        <v>1</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dimension ref="A1:P24"/>
  <sheetViews>
    <sheetView zoomScale="103" zoomScaleNormal="130" workbookViewId="0">
      <selection activeCell="C18" sqref="C18"/>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155</v>
      </c>
      <c r="B1" s="44"/>
      <c r="C1" s="44"/>
      <c r="D1" s="44"/>
      <c r="E1" s="2"/>
    </row>
    <row r="2" spans="1:5" x14ac:dyDescent="0.3">
      <c r="B2" s="9" t="s">
        <v>1</v>
      </c>
      <c r="C2" s="10" t="s">
        <v>0</v>
      </c>
    </row>
    <row r="3" spans="1:5" ht="15" thickBot="1" x14ac:dyDescent="0.35">
      <c r="B3" s="20">
        <f>SUM(B4,B5,B6,B7,B8,B9,B10,B11,B12,B13,B16,B15,B14)</f>
        <v>4591</v>
      </c>
      <c r="C3" s="12">
        <f>SUM(C4,C5,C6,C7,C8,C9,,C10,C11,C12,C13,C16,C15,C14)</f>
        <v>868</v>
      </c>
    </row>
    <row r="4" spans="1:5" s="5" customFormat="1" x14ac:dyDescent="0.3">
      <c r="A4" s="4" t="s">
        <v>2</v>
      </c>
      <c r="B4" s="5">
        <v>329</v>
      </c>
      <c r="C4" s="5">
        <v>70</v>
      </c>
    </row>
    <row r="5" spans="1:5" x14ac:dyDescent="0.3">
      <c r="A5" s="4" t="s">
        <v>3</v>
      </c>
      <c r="B5" s="30">
        <v>740</v>
      </c>
      <c r="C5" s="30">
        <v>119</v>
      </c>
    </row>
    <row r="6" spans="1:5" x14ac:dyDescent="0.3">
      <c r="A6" s="4" t="s">
        <v>4</v>
      </c>
      <c r="B6" s="19">
        <v>1598</v>
      </c>
      <c r="C6" s="6">
        <v>395</v>
      </c>
    </row>
    <row r="7" spans="1:5" x14ac:dyDescent="0.3">
      <c r="A7" s="4" t="s">
        <v>5</v>
      </c>
      <c r="B7" s="32">
        <v>1467</v>
      </c>
      <c r="C7" s="5">
        <v>216</v>
      </c>
    </row>
    <row r="8" spans="1:5" s="15" customFormat="1" x14ac:dyDescent="0.3">
      <c r="A8" s="14" t="s">
        <v>6</v>
      </c>
      <c r="B8" s="6">
        <v>0</v>
      </c>
      <c r="C8" s="6">
        <v>0</v>
      </c>
    </row>
    <row r="9" spans="1:5" x14ac:dyDescent="0.3">
      <c r="A9" s="4" t="s">
        <v>7</v>
      </c>
      <c r="B9" s="5">
        <v>1</v>
      </c>
      <c r="C9" s="5">
        <v>0</v>
      </c>
    </row>
    <row r="10" spans="1:5" x14ac:dyDescent="0.3">
      <c r="A10" s="4" t="s">
        <v>8</v>
      </c>
      <c r="B10" s="5">
        <v>279</v>
      </c>
      <c r="C10" s="5">
        <v>37</v>
      </c>
    </row>
    <row r="11" spans="1:5" x14ac:dyDescent="0.3">
      <c r="A11" s="4" t="s">
        <v>9</v>
      </c>
      <c r="B11" s="5">
        <v>0</v>
      </c>
      <c r="C11" s="5">
        <v>0</v>
      </c>
    </row>
    <row r="12" spans="1:5" x14ac:dyDescent="0.3">
      <c r="A12" s="4" t="s">
        <v>10</v>
      </c>
      <c r="B12" s="5">
        <v>176</v>
      </c>
      <c r="C12" s="5">
        <v>31</v>
      </c>
    </row>
    <row r="13" spans="1:5" x14ac:dyDescent="0.3">
      <c r="A13" s="4" t="s">
        <v>11</v>
      </c>
      <c r="B13" s="5">
        <v>1</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dimension ref="A1:P24"/>
  <sheetViews>
    <sheetView zoomScale="103" zoomScaleNormal="130" workbookViewId="0">
      <selection activeCell="B14" sqref="B1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154</v>
      </c>
      <c r="B1" s="44"/>
      <c r="C1" s="44"/>
      <c r="D1" s="44"/>
      <c r="E1" s="2"/>
    </row>
    <row r="2" spans="1:5" x14ac:dyDescent="0.3">
      <c r="B2" s="9" t="s">
        <v>1</v>
      </c>
      <c r="C2" s="10" t="s">
        <v>0</v>
      </c>
    </row>
    <row r="3" spans="1:5" ht="15" thickBot="1" x14ac:dyDescent="0.35">
      <c r="B3" s="20">
        <f>SUM(B4,B5,B6,B7,B8,B9,B10,B11,B12,B13,B16,B15,B14)</f>
        <v>4643</v>
      </c>
      <c r="C3" s="12">
        <f>SUM(C4,C5,C6,C7,C8,C9,,C10,C11,C12,C13,C16,C15,C14)</f>
        <v>870</v>
      </c>
    </row>
    <row r="4" spans="1:5" s="5" customFormat="1" x14ac:dyDescent="0.3">
      <c r="A4" s="4" t="s">
        <v>2</v>
      </c>
      <c r="B4" s="5">
        <v>349</v>
      </c>
      <c r="C4" s="5">
        <v>68</v>
      </c>
    </row>
    <row r="5" spans="1:5" x14ac:dyDescent="0.3">
      <c r="A5" s="4" t="s">
        <v>3</v>
      </c>
      <c r="B5" s="30">
        <v>738</v>
      </c>
      <c r="C5" s="30">
        <v>123</v>
      </c>
    </row>
    <row r="6" spans="1:5" x14ac:dyDescent="0.3">
      <c r="A6" s="4" t="s">
        <v>4</v>
      </c>
      <c r="B6" s="19">
        <v>1571</v>
      </c>
      <c r="C6" s="6">
        <v>394</v>
      </c>
    </row>
    <row r="7" spans="1:5" x14ac:dyDescent="0.3">
      <c r="A7" s="4" t="s">
        <v>5</v>
      </c>
      <c r="B7" s="32">
        <v>1491</v>
      </c>
      <c r="C7" s="5">
        <v>217</v>
      </c>
    </row>
    <row r="8" spans="1:5" s="15" customFormat="1" x14ac:dyDescent="0.3">
      <c r="A8" s="14" t="s">
        <v>6</v>
      </c>
      <c r="B8" s="6">
        <v>0</v>
      </c>
      <c r="C8" s="6">
        <v>0</v>
      </c>
    </row>
    <row r="9" spans="1:5" x14ac:dyDescent="0.3">
      <c r="A9" s="4" t="s">
        <v>7</v>
      </c>
      <c r="B9" s="5">
        <v>1</v>
      </c>
      <c r="C9" s="5">
        <v>0</v>
      </c>
    </row>
    <row r="10" spans="1:5" x14ac:dyDescent="0.3">
      <c r="A10" s="4" t="s">
        <v>8</v>
      </c>
      <c r="B10" s="5">
        <v>289</v>
      </c>
      <c r="C10" s="5">
        <v>35</v>
      </c>
    </row>
    <row r="11" spans="1:5" x14ac:dyDescent="0.3">
      <c r="A11" s="4" t="s">
        <v>9</v>
      </c>
      <c r="B11" s="5">
        <v>0</v>
      </c>
      <c r="C11" s="5">
        <v>0</v>
      </c>
    </row>
    <row r="12" spans="1:5" x14ac:dyDescent="0.3">
      <c r="A12" s="4" t="s">
        <v>10</v>
      </c>
      <c r="B12" s="5">
        <v>203</v>
      </c>
      <c r="C12" s="5">
        <v>33</v>
      </c>
    </row>
    <row r="13" spans="1:5" x14ac:dyDescent="0.3">
      <c r="A13" s="4" t="s">
        <v>11</v>
      </c>
      <c r="B13" s="5">
        <v>1</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dimension ref="A1:P24"/>
  <sheetViews>
    <sheetView topLeftCell="A3" zoomScale="103" zoomScaleNormal="130" workbookViewId="0">
      <selection activeCell="C19" sqref="C19"/>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153</v>
      </c>
      <c r="B1" s="44"/>
      <c r="C1" s="44"/>
      <c r="D1" s="44"/>
      <c r="E1" s="2"/>
    </row>
    <row r="2" spans="1:5" x14ac:dyDescent="0.3">
      <c r="B2" s="9" t="s">
        <v>1</v>
      </c>
      <c r="C2" s="10" t="s">
        <v>0</v>
      </c>
    </row>
    <row r="3" spans="1:5" ht="15" thickBot="1" x14ac:dyDescent="0.35">
      <c r="B3" s="20">
        <f>SUM(B4,B5,B6,B7,B8,B9,B10,B11,B12,B13,B16,B15,B14)</f>
        <v>4850</v>
      </c>
      <c r="C3" s="12">
        <f>SUM(C4,C5,C6,C7,C8,C9,,C10,C11,C12,C13,C16,C15,C14)</f>
        <v>874</v>
      </c>
    </row>
    <row r="4" spans="1:5" s="5" customFormat="1" x14ac:dyDescent="0.3">
      <c r="A4" s="4" t="s">
        <v>2</v>
      </c>
      <c r="B4" s="5">
        <v>368</v>
      </c>
      <c r="C4" s="5">
        <v>72</v>
      </c>
    </row>
    <row r="5" spans="1:5" x14ac:dyDescent="0.3">
      <c r="A5" s="4" t="s">
        <v>3</v>
      </c>
      <c r="B5" s="30">
        <v>819</v>
      </c>
      <c r="C5" s="30">
        <v>132</v>
      </c>
    </row>
    <row r="6" spans="1:5" x14ac:dyDescent="0.3">
      <c r="A6" s="4" t="s">
        <v>4</v>
      </c>
      <c r="B6" s="19">
        <v>1701</v>
      </c>
      <c r="C6" s="6">
        <v>385</v>
      </c>
    </row>
    <row r="7" spans="1:5" x14ac:dyDescent="0.3">
      <c r="A7" s="4" t="s">
        <v>5</v>
      </c>
      <c r="B7" s="32">
        <v>1497</v>
      </c>
      <c r="C7" s="5">
        <v>221</v>
      </c>
    </row>
    <row r="8" spans="1:5" s="15" customFormat="1" x14ac:dyDescent="0.3">
      <c r="A8" s="14" t="s">
        <v>6</v>
      </c>
      <c r="B8" s="6">
        <v>0</v>
      </c>
      <c r="C8" s="6">
        <v>0</v>
      </c>
    </row>
    <row r="9" spans="1:5" x14ac:dyDescent="0.3">
      <c r="A9" s="4" t="s">
        <v>7</v>
      </c>
      <c r="B9" s="5">
        <v>0</v>
      </c>
      <c r="C9" s="5">
        <v>0</v>
      </c>
    </row>
    <row r="10" spans="1:5" x14ac:dyDescent="0.3">
      <c r="A10" s="4" t="s">
        <v>8</v>
      </c>
      <c r="B10" s="5">
        <v>302</v>
      </c>
      <c r="C10" s="5">
        <v>35</v>
      </c>
    </row>
    <row r="11" spans="1:5" x14ac:dyDescent="0.3">
      <c r="A11" s="4" t="s">
        <v>9</v>
      </c>
      <c r="B11" s="5">
        <v>0</v>
      </c>
      <c r="C11" s="5">
        <v>0</v>
      </c>
    </row>
    <row r="12" spans="1:5" x14ac:dyDescent="0.3">
      <c r="A12" s="4" t="s">
        <v>10</v>
      </c>
      <c r="B12" s="5">
        <v>162</v>
      </c>
      <c r="C12" s="5">
        <v>29</v>
      </c>
    </row>
    <row r="13" spans="1:5" x14ac:dyDescent="0.3">
      <c r="A13" s="4" t="s">
        <v>11</v>
      </c>
      <c r="B13" s="5">
        <v>1</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dimension ref="A1:P24"/>
  <sheetViews>
    <sheetView zoomScale="103" zoomScaleNormal="130" workbookViewId="0">
      <selection activeCell="C18" sqref="C18"/>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152</v>
      </c>
      <c r="B1" s="44"/>
      <c r="C1" s="44"/>
      <c r="D1" s="44"/>
      <c r="E1" s="2"/>
    </row>
    <row r="2" spans="1:5" x14ac:dyDescent="0.3">
      <c r="B2" s="9" t="s">
        <v>1</v>
      </c>
      <c r="C2" s="10" t="s">
        <v>0</v>
      </c>
    </row>
    <row r="3" spans="1:5" ht="15" thickBot="1" x14ac:dyDescent="0.35">
      <c r="B3" s="20">
        <f>SUM(B4,B5,B6,B7,B8,B9,B10,B11,B12,B13,B16,B15,B14)</f>
        <v>4517</v>
      </c>
      <c r="C3" s="12">
        <f>SUM(C4,C5,C6,C7,C8,C9,,C10,C11,C12,C13,C16,C15,C14)</f>
        <v>860</v>
      </c>
    </row>
    <row r="4" spans="1:5" s="5" customFormat="1" x14ac:dyDescent="0.3">
      <c r="A4" s="4" t="s">
        <v>2</v>
      </c>
      <c r="B4" s="5">
        <v>358</v>
      </c>
      <c r="C4" s="5">
        <v>75</v>
      </c>
    </row>
    <row r="5" spans="1:5" x14ac:dyDescent="0.3">
      <c r="A5" s="4" t="s">
        <v>3</v>
      </c>
      <c r="B5" s="30">
        <v>794</v>
      </c>
      <c r="C5" s="30">
        <v>128</v>
      </c>
    </row>
    <row r="6" spans="1:5" x14ac:dyDescent="0.3">
      <c r="A6" s="4" t="s">
        <v>4</v>
      </c>
      <c r="B6" s="19">
        <v>1483</v>
      </c>
      <c r="C6" s="6">
        <v>388</v>
      </c>
    </row>
    <row r="7" spans="1:5" x14ac:dyDescent="0.3">
      <c r="A7" s="4" t="s">
        <v>5</v>
      </c>
      <c r="B7" s="32">
        <v>1380</v>
      </c>
      <c r="C7" s="5">
        <v>203</v>
      </c>
    </row>
    <row r="8" spans="1:5" s="15" customFormat="1" x14ac:dyDescent="0.3">
      <c r="A8" s="14" t="s">
        <v>6</v>
      </c>
      <c r="B8" s="6">
        <v>0</v>
      </c>
      <c r="C8" s="6">
        <v>0</v>
      </c>
    </row>
    <row r="9" spans="1:5" x14ac:dyDescent="0.3">
      <c r="A9" s="4" t="s">
        <v>7</v>
      </c>
      <c r="B9" s="5">
        <v>0</v>
      </c>
      <c r="C9" s="5">
        <v>0</v>
      </c>
    </row>
    <row r="10" spans="1:5" x14ac:dyDescent="0.3">
      <c r="A10" s="4" t="s">
        <v>8</v>
      </c>
      <c r="B10" s="5">
        <v>322</v>
      </c>
      <c r="C10" s="5">
        <v>36</v>
      </c>
    </row>
    <row r="11" spans="1:5" x14ac:dyDescent="0.3">
      <c r="A11" s="4" t="s">
        <v>9</v>
      </c>
      <c r="B11" s="5">
        <v>0</v>
      </c>
      <c r="C11" s="5">
        <v>0</v>
      </c>
    </row>
    <row r="12" spans="1:5" x14ac:dyDescent="0.3">
      <c r="A12" s="4" t="s">
        <v>10</v>
      </c>
      <c r="B12" s="5">
        <v>179</v>
      </c>
      <c r="C12" s="5">
        <v>30</v>
      </c>
    </row>
    <row r="13" spans="1:5" x14ac:dyDescent="0.3">
      <c r="A13" s="4" t="s">
        <v>11</v>
      </c>
      <c r="B13" s="5">
        <v>1</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dimension ref="A1:P24"/>
  <sheetViews>
    <sheetView zoomScale="103" zoomScaleNormal="130" workbookViewId="0">
      <selection activeCell="B14" sqref="B1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151</v>
      </c>
      <c r="B1" s="44"/>
      <c r="C1" s="44"/>
      <c r="D1" s="44"/>
      <c r="E1" s="2"/>
    </row>
    <row r="2" spans="1:5" x14ac:dyDescent="0.3">
      <c r="B2" s="9" t="s">
        <v>1</v>
      </c>
      <c r="C2" s="10" t="s">
        <v>0</v>
      </c>
    </row>
    <row r="3" spans="1:5" ht="15" thickBot="1" x14ac:dyDescent="0.35">
      <c r="B3" s="20">
        <f>SUM(B4,B5,B6,B7,B8,B9,B10,B11,B12,B13,B16,B15,B14)</f>
        <v>4592</v>
      </c>
      <c r="C3" s="12">
        <f>SUM(C4,C5,C6,C7,C8,C9,,C10,C11,C12,C13,C16,C15,C14)</f>
        <v>843</v>
      </c>
    </row>
    <row r="4" spans="1:5" s="5" customFormat="1" x14ac:dyDescent="0.3">
      <c r="A4" s="4" t="s">
        <v>2</v>
      </c>
      <c r="B4" s="5">
        <v>372</v>
      </c>
      <c r="C4" s="5">
        <v>74</v>
      </c>
    </row>
    <row r="5" spans="1:5" x14ac:dyDescent="0.3">
      <c r="A5" s="4" t="s">
        <v>3</v>
      </c>
      <c r="B5" s="30">
        <v>871</v>
      </c>
      <c r="C5" s="30">
        <v>139</v>
      </c>
    </row>
    <row r="6" spans="1:5" x14ac:dyDescent="0.3">
      <c r="A6" s="4" t="s">
        <v>4</v>
      </c>
      <c r="B6" s="19">
        <v>1472</v>
      </c>
      <c r="C6" s="6">
        <v>363</v>
      </c>
    </row>
    <row r="7" spans="1:5" x14ac:dyDescent="0.3">
      <c r="A7" s="4" t="s">
        <v>5</v>
      </c>
      <c r="B7" s="32">
        <v>1380</v>
      </c>
      <c r="C7" s="5">
        <v>202</v>
      </c>
    </row>
    <row r="8" spans="1:5" s="15" customFormat="1" x14ac:dyDescent="0.3">
      <c r="A8" s="14" t="s">
        <v>6</v>
      </c>
      <c r="B8" s="6">
        <v>0</v>
      </c>
      <c r="C8" s="6">
        <v>0</v>
      </c>
    </row>
    <row r="9" spans="1:5" x14ac:dyDescent="0.3">
      <c r="A9" s="4" t="s">
        <v>7</v>
      </c>
      <c r="B9" s="5">
        <v>1</v>
      </c>
      <c r="C9" s="5">
        <v>1</v>
      </c>
    </row>
    <row r="10" spans="1:5" x14ac:dyDescent="0.3">
      <c r="A10" s="4" t="s">
        <v>8</v>
      </c>
      <c r="B10" s="5">
        <v>319</v>
      </c>
      <c r="C10" s="5">
        <v>35</v>
      </c>
    </row>
    <row r="11" spans="1:5" x14ac:dyDescent="0.3">
      <c r="A11" s="4" t="s">
        <v>9</v>
      </c>
      <c r="B11" s="5">
        <v>0</v>
      </c>
      <c r="C11" s="5">
        <v>0</v>
      </c>
    </row>
    <row r="12" spans="1:5" x14ac:dyDescent="0.3">
      <c r="A12" s="4" t="s">
        <v>10</v>
      </c>
      <c r="B12" s="5">
        <v>176</v>
      </c>
      <c r="C12" s="5">
        <v>29</v>
      </c>
    </row>
    <row r="13" spans="1:5" x14ac:dyDescent="0.3">
      <c r="A13" s="4" t="s">
        <v>11</v>
      </c>
      <c r="B13" s="5">
        <v>1</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dimension ref="A1:P24"/>
  <sheetViews>
    <sheetView zoomScale="103" zoomScaleNormal="130" workbookViewId="0">
      <selection activeCell="D14" sqref="D1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150</v>
      </c>
      <c r="B1" s="44"/>
      <c r="C1" s="44"/>
      <c r="D1" s="44"/>
      <c r="E1" s="2"/>
    </row>
    <row r="2" spans="1:5" x14ac:dyDescent="0.3">
      <c r="B2" s="9" t="s">
        <v>1</v>
      </c>
      <c r="C2" s="10" t="s">
        <v>0</v>
      </c>
    </row>
    <row r="3" spans="1:5" ht="15" thickBot="1" x14ac:dyDescent="0.35">
      <c r="B3" s="20">
        <f>SUM(B4,B5,B6,B7,B8,B9,B10,B11,B12,B13,B16,B15,B14)</f>
        <v>4645</v>
      </c>
      <c r="C3" s="12">
        <f>SUM(C4,C5,C6,C7,C8,C9,,C10,C11,C12,C13,C16,C15,C14)</f>
        <v>847</v>
      </c>
    </row>
    <row r="4" spans="1:5" s="5" customFormat="1" x14ac:dyDescent="0.3">
      <c r="A4" s="4" t="s">
        <v>2</v>
      </c>
      <c r="B4" s="5">
        <v>367</v>
      </c>
      <c r="C4" s="5">
        <v>77</v>
      </c>
    </row>
    <row r="5" spans="1:5" x14ac:dyDescent="0.3">
      <c r="A5" s="4" t="s">
        <v>3</v>
      </c>
      <c r="B5" s="30">
        <v>919</v>
      </c>
      <c r="C5" s="30">
        <v>140</v>
      </c>
    </row>
    <row r="6" spans="1:5" x14ac:dyDescent="0.3">
      <c r="A6" s="4" t="s">
        <v>4</v>
      </c>
      <c r="B6" s="19">
        <v>1463</v>
      </c>
      <c r="C6" s="6">
        <v>361</v>
      </c>
    </row>
    <row r="7" spans="1:5" x14ac:dyDescent="0.3">
      <c r="A7" s="4" t="s">
        <v>5</v>
      </c>
      <c r="B7" s="32">
        <v>1393</v>
      </c>
      <c r="C7" s="5">
        <v>202</v>
      </c>
    </row>
    <row r="8" spans="1:5" s="15" customFormat="1" x14ac:dyDescent="0.3">
      <c r="A8" s="14" t="s">
        <v>6</v>
      </c>
      <c r="B8" s="6">
        <v>0</v>
      </c>
      <c r="C8" s="6">
        <v>0</v>
      </c>
    </row>
    <row r="9" spans="1:5" x14ac:dyDescent="0.3">
      <c r="A9" s="4" t="s">
        <v>7</v>
      </c>
      <c r="B9" s="5">
        <v>1</v>
      </c>
      <c r="C9" s="5">
        <v>1</v>
      </c>
    </row>
    <row r="10" spans="1:5" x14ac:dyDescent="0.3">
      <c r="A10" s="4" t="s">
        <v>8</v>
      </c>
      <c r="B10" s="5">
        <v>329</v>
      </c>
      <c r="C10" s="5">
        <v>37</v>
      </c>
    </row>
    <row r="11" spans="1:5" x14ac:dyDescent="0.3">
      <c r="A11" s="4" t="s">
        <v>9</v>
      </c>
      <c r="B11" s="5">
        <v>0</v>
      </c>
      <c r="C11" s="5">
        <v>0</v>
      </c>
    </row>
    <row r="12" spans="1:5" x14ac:dyDescent="0.3">
      <c r="A12" s="4" t="s">
        <v>10</v>
      </c>
      <c r="B12" s="5">
        <v>172</v>
      </c>
      <c r="C12" s="5">
        <v>29</v>
      </c>
    </row>
    <row r="13" spans="1:5" x14ac:dyDescent="0.3">
      <c r="A13" s="4" t="s">
        <v>11</v>
      </c>
      <c r="B13" s="5">
        <v>1</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A1:P24"/>
  <sheetViews>
    <sheetView zoomScale="103" zoomScaleNormal="130" workbookViewId="0">
      <selection activeCell="B13" sqref="B13"/>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149</v>
      </c>
      <c r="B1" s="44"/>
      <c r="C1" s="44"/>
      <c r="D1" s="44"/>
      <c r="E1" s="2"/>
    </row>
    <row r="2" spans="1:5" x14ac:dyDescent="0.3">
      <c r="B2" s="9" t="s">
        <v>1</v>
      </c>
      <c r="C2" s="10" t="s">
        <v>0</v>
      </c>
    </row>
    <row r="3" spans="1:5" ht="15" thickBot="1" x14ac:dyDescent="0.35">
      <c r="B3" s="20">
        <f>SUM(B4,B5,B6,B7,B8,B9,B10,B11,B12,B13,B16,B15,B14)</f>
        <v>4273</v>
      </c>
      <c r="C3" s="12">
        <f>SUM(C4,C5,C6,C7,C8,C9,,C10,C11,C12,C13,C16,C15,C14)</f>
        <v>829</v>
      </c>
    </row>
    <row r="4" spans="1:5" s="5" customFormat="1" x14ac:dyDescent="0.3">
      <c r="A4" s="4" t="s">
        <v>2</v>
      </c>
      <c r="B4" s="5">
        <v>374</v>
      </c>
      <c r="C4" s="5">
        <v>76</v>
      </c>
    </row>
    <row r="5" spans="1:5" x14ac:dyDescent="0.3">
      <c r="A5" s="4" t="s">
        <v>3</v>
      </c>
      <c r="B5" s="30">
        <v>921</v>
      </c>
      <c r="C5" s="30">
        <v>152</v>
      </c>
    </row>
    <row r="6" spans="1:5" x14ac:dyDescent="0.3">
      <c r="A6" s="4" t="s">
        <v>4</v>
      </c>
      <c r="B6" s="19">
        <v>1190</v>
      </c>
      <c r="C6" s="6">
        <v>333</v>
      </c>
    </row>
    <row r="7" spans="1:5" x14ac:dyDescent="0.3">
      <c r="A7" s="4" t="s">
        <v>5</v>
      </c>
      <c r="B7" s="32">
        <v>1294</v>
      </c>
      <c r="C7" s="5">
        <v>188</v>
      </c>
    </row>
    <row r="8" spans="1:5" s="15" customFormat="1" x14ac:dyDescent="0.3">
      <c r="A8" s="14" t="s">
        <v>6</v>
      </c>
      <c r="B8" s="6">
        <v>1</v>
      </c>
      <c r="C8" s="6">
        <v>0</v>
      </c>
    </row>
    <row r="9" spans="1:5" x14ac:dyDescent="0.3">
      <c r="A9" s="4" t="s">
        <v>7</v>
      </c>
      <c r="B9" s="5">
        <v>1</v>
      </c>
      <c r="C9" s="5">
        <v>1</v>
      </c>
    </row>
    <row r="10" spans="1:5" x14ac:dyDescent="0.3">
      <c r="A10" s="4" t="s">
        <v>8</v>
      </c>
      <c r="B10" s="5">
        <v>339</v>
      </c>
      <c r="C10" s="5">
        <v>41</v>
      </c>
    </row>
    <row r="11" spans="1:5" x14ac:dyDescent="0.3">
      <c r="A11" s="4" t="s">
        <v>9</v>
      </c>
      <c r="B11" s="5">
        <v>0</v>
      </c>
      <c r="C11" s="5">
        <v>0</v>
      </c>
    </row>
    <row r="12" spans="1:5" x14ac:dyDescent="0.3">
      <c r="A12" s="4" t="s">
        <v>10</v>
      </c>
      <c r="B12" s="5">
        <v>152</v>
      </c>
      <c r="C12" s="5">
        <v>38</v>
      </c>
    </row>
    <row r="13" spans="1:5" x14ac:dyDescent="0.3">
      <c r="A13" s="4" t="s">
        <v>11</v>
      </c>
      <c r="B13" s="5">
        <v>1</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26"/>
  <sheetViews>
    <sheetView zoomScaleNormal="100" workbookViewId="0">
      <selection activeCell="C7" sqref="C7"/>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448</v>
      </c>
      <c r="B1" s="44"/>
      <c r="C1" s="44"/>
      <c r="D1" s="44"/>
      <c r="E1" s="2"/>
    </row>
    <row r="2" spans="1:5" x14ac:dyDescent="0.3">
      <c r="B2" s="9" t="s">
        <v>1</v>
      </c>
      <c r="C2" s="10" t="s">
        <v>0</v>
      </c>
    </row>
    <row r="3" spans="1:5" ht="15" thickBot="1" x14ac:dyDescent="0.35">
      <c r="B3" s="20">
        <f>SUM(B4,B5,B6,B7,B8,B9,B10,B11,B12,B13,B16,B15,B14)</f>
        <v>5907</v>
      </c>
      <c r="C3" s="12">
        <f>SUM(C4,C5,C6,C7,C8,C9,,C10,C11,C12,C13,C16,C15,C14)</f>
        <v>426</v>
      </c>
    </row>
    <row r="4" spans="1:5" s="5" customFormat="1" x14ac:dyDescent="0.3">
      <c r="A4" s="4" t="s">
        <v>2</v>
      </c>
      <c r="B4" s="5">
        <v>324</v>
      </c>
      <c r="C4" s="5">
        <v>38</v>
      </c>
    </row>
    <row r="5" spans="1:5" x14ac:dyDescent="0.3">
      <c r="A5" s="4" t="s">
        <v>3</v>
      </c>
      <c r="B5" s="30">
        <v>1053</v>
      </c>
      <c r="C5" s="30">
        <v>48</v>
      </c>
      <c r="D5" s="5"/>
    </row>
    <row r="6" spans="1:5" x14ac:dyDescent="0.3">
      <c r="A6" s="4" t="s">
        <v>4</v>
      </c>
      <c r="B6" s="19">
        <v>1332</v>
      </c>
      <c r="C6" s="6">
        <v>182</v>
      </c>
      <c r="D6" s="5"/>
    </row>
    <row r="7" spans="1:5" x14ac:dyDescent="0.3">
      <c r="A7" s="4" t="s">
        <v>5</v>
      </c>
      <c r="B7" s="32">
        <v>2060</v>
      </c>
      <c r="C7" s="5">
        <v>83</v>
      </c>
      <c r="D7" s="5"/>
    </row>
    <row r="8" spans="1:5" s="15" customFormat="1" x14ac:dyDescent="0.3">
      <c r="A8" s="14" t="s">
        <v>6</v>
      </c>
      <c r="B8" s="6">
        <v>57</v>
      </c>
      <c r="C8" s="6">
        <v>9</v>
      </c>
      <c r="D8" s="5"/>
    </row>
    <row r="9" spans="1:5" x14ac:dyDescent="0.3">
      <c r="A9" s="4" t="s">
        <v>7</v>
      </c>
      <c r="B9" s="5">
        <v>192</v>
      </c>
      <c r="C9" s="5">
        <v>13</v>
      </c>
      <c r="D9" s="5"/>
    </row>
    <row r="10" spans="1:5" x14ac:dyDescent="0.3">
      <c r="A10" s="4" t="s">
        <v>8</v>
      </c>
      <c r="B10" s="5">
        <v>426</v>
      </c>
      <c r="C10" s="5">
        <v>24</v>
      </c>
      <c r="D10" s="5"/>
    </row>
    <row r="11" spans="1:5" x14ac:dyDescent="0.3">
      <c r="A11" s="4" t="s">
        <v>9</v>
      </c>
      <c r="B11" s="5">
        <v>36</v>
      </c>
      <c r="C11" s="5">
        <v>3</v>
      </c>
      <c r="D11" s="5"/>
    </row>
    <row r="12" spans="1:5" x14ac:dyDescent="0.3">
      <c r="A12" s="4" t="s">
        <v>10</v>
      </c>
      <c r="B12" s="5">
        <v>354</v>
      </c>
      <c r="C12" s="5">
        <v>20</v>
      </c>
      <c r="D12" s="5"/>
    </row>
    <row r="13" spans="1:5" x14ac:dyDescent="0.3">
      <c r="A13" s="4" t="s">
        <v>11</v>
      </c>
      <c r="B13" s="5">
        <v>32</v>
      </c>
      <c r="C13" s="5">
        <v>6</v>
      </c>
      <c r="D13" s="5"/>
    </row>
    <row r="14" spans="1:5" x14ac:dyDescent="0.3">
      <c r="A14" s="4" t="s">
        <v>12</v>
      </c>
      <c r="B14" s="8">
        <v>8</v>
      </c>
      <c r="C14" s="7">
        <v>0</v>
      </c>
      <c r="D14" s="5"/>
    </row>
    <row r="15" spans="1:5" x14ac:dyDescent="0.3">
      <c r="A15" s="4" t="s">
        <v>13</v>
      </c>
      <c r="B15" s="5">
        <v>0</v>
      </c>
      <c r="C15" s="5">
        <v>0</v>
      </c>
      <c r="D15" s="5" t="s">
        <v>231</v>
      </c>
    </row>
    <row r="16" spans="1:5" x14ac:dyDescent="0.3">
      <c r="A16" s="4" t="s">
        <v>14</v>
      </c>
      <c r="B16" s="5">
        <v>33</v>
      </c>
      <c r="C16" s="5">
        <v>0</v>
      </c>
      <c r="D16" s="5"/>
    </row>
    <row r="17" spans="1:9" x14ac:dyDescent="0.3">
      <c r="B17" s="3"/>
    </row>
    <row r="20" spans="1:9" x14ac:dyDescent="0.3">
      <c r="A20" s="1" t="s">
        <v>122</v>
      </c>
    </row>
    <row r="21" spans="1:9" s="3" customFormat="1" x14ac:dyDescent="0.3">
      <c r="A21" s="33" t="s">
        <v>441</v>
      </c>
      <c r="B21" s="8"/>
    </row>
    <row r="22" spans="1:9" s="3" customFormat="1" x14ac:dyDescent="0.3">
      <c r="A22" s="34" t="s">
        <v>442</v>
      </c>
      <c r="B22" s="8"/>
    </row>
    <row r="23" spans="1:9" s="3" customFormat="1" x14ac:dyDescent="0.3">
      <c r="A23" s="35" t="s">
        <v>443</v>
      </c>
      <c r="B23" s="8"/>
    </row>
    <row r="24" spans="1:9" s="3" customFormat="1" x14ac:dyDescent="0.3">
      <c r="A24" s="33" t="s">
        <v>449</v>
      </c>
      <c r="B24" s="8"/>
    </row>
    <row r="25" spans="1:9" s="3" customFormat="1" x14ac:dyDescent="0.3">
      <c r="A25" s="36" t="s">
        <v>447</v>
      </c>
      <c r="B25" s="8"/>
    </row>
    <row r="26" spans="1:9" s="3" customFormat="1" x14ac:dyDescent="0.3">
      <c r="A26" s="33" t="s">
        <v>440</v>
      </c>
      <c r="B26" s="8"/>
      <c r="I26" s="3" t="s">
        <v>414</v>
      </c>
    </row>
  </sheetData>
  <mergeCells count="1">
    <mergeCell ref="A1:D1"/>
  </mergeCells>
  <hyperlinks>
    <hyperlink ref="A21" r:id="rId1" display="*** NT's official website does not disclose the number of current hospitalizations, but according to the press, as of March 23th, there were 8 people in hospital with Covid-19." xr:uid="{00000000-0004-0000-0600-000000000000}"/>
    <hyperlink ref="A22" r:id="rId2" display="**** YT's official website is now informing the number of hospitalizations, which is 2 as of March 7th." xr:uid="{00000000-0004-0000-0600-000001000000}"/>
    <hyperlink ref="A23" r:id="rId3" display="***** NU's official website does not disclose the number of current hospitalizations, but according to the press as of March 9th, 33 people had been hospitalized since December 21st due to the Omicron wave. That number does not represent the total number " xr:uid="{00000000-0004-0000-0600-000002000000}"/>
    <hyperlink ref="A24" r:id="rId4" xr:uid="{00000000-0004-0000-0600-000003000000}"/>
    <hyperlink ref="A26" r:id="rId5" xr:uid="{00000000-0004-0000-0600-000004000000}"/>
    <hyperlink ref="A25" r:id="rId6" xr:uid="{00000000-0004-0000-0600-000005000000}"/>
  </hyperlinks>
  <pageMargins left="0.7" right="0.7" top="0.75" bottom="0.75" header="0.3" footer="0.3"/>
  <pageSetup orientation="portrait" r:id="rId7"/>
  <drawing r:id="rId8"/>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dimension ref="A1:P24"/>
  <sheetViews>
    <sheetView zoomScale="103" zoomScaleNormal="130" workbookViewId="0">
      <selection activeCell="J3" sqref="J3"/>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148</v>
      </c>
      <c r="B1" s="44"/>
      <c r="C1" s="44"/>
      <c r="D1" s="44"/>
      <c r="E1" s="2"/>
    </row>
    <row r="2" spans="1:5" x14ac:dyDescent="0.3">
      <c r="B2" s="9" t="s">
        <v>1</v>
      </c>
      <c r="C2" s="10" t="s">
        <v>0</v>
      </c>
    </row>
    <row r="3" spans="1:5" ht="15" thickBot="1" x14ac:dyDescent="0.35">
      <c r="B3" s="20">
        <f>SUM(B4,B5,B6,B7,B8,B9,B10,B11,B12,B13,B16,B15,B14)</f>
        <v>3630</v>
      </c>
      <c r="C3" s="12">
        <f>SUM(C4,C5,C6,C7,C8,C9,,C10,C11,C12,C13,C16,C15,C14)</f>
        <v>711</v>
      </c>
    </row>
    <row r="4" spans="1:5" s="5" customFormat="1" x14ac:dyDescent="0.3">
      <c r="A4" s="4" t="s">
        <v>2</v>
      </c>
      <c r="B4" s="5">
        <v>357</v>
      </c>
      <c r="C4" s="5">
        <v>84</v>
      </c>
    </row>
    <row r="5" spans="1:5" x14ac:dyDescent="0.3">
      <c r="A5" s="4" t="s">
        <v>3</v>
      </c>
      <c r="B5" s="30">
        <v>802</v>
      </c>
      <c r="C5" s="30">
        <v>152</v>
      </c>
    </row>
    <row r="6" spans="1:5" x14ac:dyDescent="0.3">
      <c r="A6" s="4" t="s">
        <v>4</v>
      </c>
      <c r="B6" s="19">
        <v>1002</v>
      </c>
      <c r="C6" s="6">
        <v>275</v>
      </c>
    </row>
    <row r="7" spans="1:5" x14ac:dyDescent="0.3">
      <c r="A7" s="4" t="s">
        <v>5</v>
      </c>
      <c r="B7" s="32">
        <v>1067</v>
      </c>
      <c r="C7" s="5">
        <v>142</v>
      </c>
    </row>
    <row r="8" spans="1:5" s="15" customFormat="1" x14ac:dyDescent="0.3">
      <c r="A8" s="14" t="s">
        <v>6</v>
      </c>
      <c r="B8" s="6">
        <v>0</v>
      </c>
      <c r="C8" s="6">
        <v>0</v>
      </c>
    </row>
    <row r="9" spans="1:5" x14ac:dyDescent="0.3">
      <c r="A9" s="4" t="s">
        <v>7</v>
      </c>
      <c r="B9" s="5">
        <v>2</v>
      </c>
      <c r="C9" s="5">
        <v>1</v>
      </c>
    </row>
    <row r="10" spans="1:5" x14ac:dyDescent="0.3">
      <c r="A10" s="4" t="s">
        <v>8</v>
      </c>
      <c r="B10" s="5">
        <v>275</v>
      </c>
      <c r="C10" s="5">
        <v>36</v>
      </c>
    </row>
    <row r="11" spans="1:5" x14ac:dyDescent="0.3">
      <c r="A11" s="4" t="s">
        <v>9</v>
      </c>
      <c r="B11" s="5">
        <v>0</v>
      </c>
      <c r="C11" s="5">
        <v>0</v>
      </c>
    </row>
    <row r="12" spans="1:5" x14ac:dyDescent="0.3">
      <c r="A12" s="4" t="s">
        <v>10</v>
      </c>
      <c r="B12" s="5">
        <v>124</v>
      </c>
      <c r="C12" s="5">
        <v>21</v>
      </c>
    </row>
    <row r="13" spans="1:5" x14ac:dyDescent="0.3">
      <c r="A13" s="4" t="s">
        <v>11</v>
      </c>
      <c r="B13" s="5">
        <v>1</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dimension ref="A1:P24"/>
  <sheetViews>
    <sheetView zoomScale="103" zoomScaleNormal="130" workbookViewId="0">
      <selection activeCell="B13" sqref="B13"/>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147</v>
      </c>
      <c r="B1" s="44"/>
      <c r="C1" s="44"/>
      <c r="D1" s="44"/>
      <c r="E1" s="2"/>
    </row>
    <row r="2" spans="1:5" x14ac:dyDescent="0.3">
      <c r="B2" s="9" t="s">
        <v>1</v>
      </c>
      <c r="C2" s="10" t="s">
        <v>0</v>
      </c>
    </row>
    <row r="3" spans="1:5" ht="15" thickBot="1" x14ac:dyDescent="0.35">
      <c r="B3" s="20">
        <f>SUM(B4,B5,B6,B7,B8,B9,B10,B11,B12,B13,B16,B15,B14)</f>
        <v>3508</v>
      </c>
      <c r="C3" s="12">
        <f>SUM(C4,C5,C6,C7,C8,C9,,C10,C11,C12,C13,C16,C15,C14)</f>
        <v>715</v>
      </c>
    </row>
    <row r="4" spans="1:5" s="5" customFormat="1" x14ac:dyDescent="0.3">
      <c r="A4" s="4" t="s">
        <v>2</v>
      </c>
      <c r="B4" s="5">
        <v>356</v>
      </c>
      <c r="C4" s="5">
        <v>92</v>
      </c>
    </row>
    <row r="5" spans="1:5" x14ac:dyDescent="0.3">
      <c r="A5" s="4" t="s">
        <v>3</v>
      </c>
      <c r="B5" s="30">
        <v>760</v>
      </c>
      <c r="C5" s="30">
        <v>149</v>
      </c>
    </row>
    <row r="6" spans="1:5" x14ac:dyDescent="0.3">
      <c r="A6" s="4" t="s">
        <v>4</v>
      </c>
      <c r="B6" s="19">
        <v>915</v>
      </c>
      <c r="C6" s="6">
        <v>265</v>
      </c>
    </row>
    <row r="7" spans="1:5" x14ac:dyDescent="0.3">
      <c r="A7" s="4" t="s">
        <v>5</v>
      </c>
      <c r="B7" s="32">
        <v>1048</v>
      </c>
      <c r="C7" s="5">
        <v>146</v>
      </c>
    </row>
    <row r="8" spans="1:5" s="15" customFormat="1" x14ac:dyDescent="0.3">
      <c r="A8" s="14" t="s">
        <v>6</v>
      </c>
      <c r="B8" s="6">
        <v>0</v>
      </c>
      <c r="C8" s="6">
        <v>0</v>
      </c>
    </row>
    <row r="9" spans="1:5" x14ac:dyDescent="0.3">
      <c r="A9" s="4" t="s">
        <v>7</v>
      </c>
      <c r="B9" s="5">
        <v>3</v>
      </c>
      <c r="C9" s="5">
        <v>1</v>
      </c>
    </row>
    <row r="10" spans="1:5" x14ac:dyDescent="0.3">
      <c r="A10" s="4" t="s">
        <v>8</v>
      </c>
      <c r="B10" s="5">
        <v>302</v>
      </c>
      <c r="C10" s="5">
        <v>43</v>
      </c>
    </row>
    <row r="11" spans="1:5" x14ac:dyDescent="0.3">
      <c r="A11" s="4" t="s">
        <v>9</v>
      </c>
      <c r="B11" s="5">
        <v>0</v>
      </c>
      <c r="C11" s="5">
        <v>0</v>
      </c>
    </row>
    <row r="12" spans="1:5" x14ac:dyDescent="0.3">
      <c r="A12" s="4" t="s">
        <v>10</v>
      </c>
      <c r="B12" s="5">
        <v>123</v>
      </c>
      <c r="C12" s="5">
        <v>19</v>
      </c>
    </row>
    <row r="13" spans="1:5" x14ac:dyDescent="0.3">
      <c r="A13" s="4" t="s">
        <v>11</v>
      </c>
      <c r="B13" s="5">
        <v>1</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dimension ref="A1:P24"/>
  <sheetViews>
    <sheetView zoomScale="103" zoomScaleNormal="130" workbookViewId="0">
      <selection activeCell="B14" sqref="B1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146</v>
      </c>
      <c r="B1" s="44"/>
      <c r="C1" s="44"/>
      <c r="D1" s="44"/>
      <c r="E1" s="2"/>
    </row>
    <row r="2" spans="1:5" x14ac:dyDescent="0.3">
      <c r="B2" s="9" t="s">
        <v>1</v>
      </c>
      <c r="C2" s="10" t="s">
        <v>0</v>
      </c>
    </row>
    <row r="3" spans="1:5" ht="15" thickBot="1" x14ac:dyDescent="0.35">
      <c r="B3" s="20">
        <f>SUM(B4,B5,B6,B7,B8,B9,B10,B11,B12,B13,B16,B15,B14)</f>
        <v>3486</v>
      </c>
      <c r="C3" s="12">
        <f>SUM(C4,C5,C6,C7,C8,C9,,C10,C11,C12,C13,C16,C15,C14)</f>
        <v>694</v>
      </c>
    </row>
    <row r="4" spans="1:5" s="5" customFormat="1" x14ac:dyDescent="0.3">
      <c r="A4" s="4" t="s">
        <v>2</v>
      </c>
      <c r="B4" s="5">
        <v>358</v>
      </c>
      <c r="C4" s="5">
        <v>93</v>
      </c>
    </row>
    <row r="5" spans="1:5" x14ac:dyDescent="0.3">
      <c r="A5" s="4" t="s">
        <v>3</v>
      </c>
      <c r="B5" s="30">
        <v>763</v>
      </c>
      <c r="C5" s="30">
        <v>138</v>
      </c>
    </row>
    <row r="6" spans="1:5" x14ac:dyDescent="0.3">
      <c r="A6" s="4" t="s">
        <v>4</v>
      </c>
      <c r="B6" s="19">
        <v>919</v>
      </c>
      <c r="C6" s="6">
        <v>263</v>
      </c>
    </row>
    <row r="7" spans="1:5" x14ac:dyDescent="0.3">
      <c r="A7" s="4" t="s">
        <v>5</v>
      </c>
      <c r="B7" s="32">
        <v>1002</v>
      </c>
      <c r="C7" s="5">
        <v>134</v>
      </c>
    </row>
    <row r="8" spans="1:5" s="15" customFormat="1" x14ac:dyDescent="0.3">
      <c r="A8" s="14" t="s">
        <v>6</v>
      </c>
      <c r="B8" s="6">
        <v>0</v>
      </c>
      <c r="C8" s="6">
        <v>0</v>
      </c>
    </row>
    <row r="9" spans="1:5" x14ac:dyDescent="0.3">
      <c r="A9" s="4" t="s">
        <v>7</v>
      </c>
      <c r="B9" s="5">
        <v>3</v>
      </c>
      <c r="C9" s="5">
        <v>2</v>
      </c>
    </row>
    <row r="10" spans="1:5" x14ac:dyDescent="0.3">
      <c r="A10" s="4" t="s">
        <v>8</v>
      </c>
      <c r="B10" s="5">
        <v>314</v>
      </c>
      <c r="C10" s="5">
        <v>42</v>
      </c>
    </row>
    <row r="11" spans="1:5" x14ac:dyDescent="0.3">
      <c r="A11" s="4" t="s">
        <v>9</v>
      </c>
      <c r="B11" s="5">
        <v>0</v>
      </c>
      <c r="C11" s="5">
        <v>0</v>
      </c>
    </row>
    <row r="12" spans="1:5" x14ac:dyDescent="0.3">
      <c r="A12" s="4" t="s">
        <v>10</v>
      </c>
      <c r="B12" s="5">
        <v>126</v>
      </c>
      <c r="C12" s="5">
        <v>22</v>
      </c>
    </row>
    <row r="13" spans="1:5" x14ac:dyDescent="0.3">
      <c r="A13" s="4" t="s">
        <v>11</v>
      </c>
      <c r="B13" s="5">
        <v>1</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A1:P24"/>
  <sheetViews>
    <sheetView zoomScale="103" zoomScaleNormal="130" workbookViewId="0">
      <selection activeCell="D6" sqref="D6"/>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145</v>
      </c>
      <c r="B1" s="44"/>
      <c r="C1" s="44"/>
      <c r="D1" s="44"/>
      <c r="E1" s="2"/>
    </row>
    <row r="2" spans="1:5" x14ac:dyDescent="0.3">
      <c r="B2" s="9" t="s">
        <v>1</v>
      </c>
      <c r="C2" s="10" t="s">
        <v>0</v>
      </c>
    </row>
    <row r="3" spans="1:5" ht="15" thickBot="1" x14ac:dyDescent="0.35">
      <c r="B3" s="20">
        <f>SUM(B4,B5,B6,B7,B8,B9,B10,B11,B12,B13,B16,B15,B14)</f>
        <v>3421</v>
      </c>
      <c r="C3" s="12">
        <f>SUM(C4,C5,C6,C7,C8,C9,,C10,C11,C12,C13,C16,C15,C14)</f>
        <v>676</v>
      </c>
    </row>
    <row r="4" spans="1:5" s="5" customFormat="1" x14ac:dyDescent="0.3">
      <c r="A4" s="4" t="s">
        <v>2</v>
      </c>
      <c r="B4" s="5">
        <v>361</v>
      </c>
      <c r="C4" s="5">
        <v>93</v>
      </c>
    </row>
    <row r="5" spans="1:5" x14ac:dyDescent="0.3">
      <c r="A5" s="4" t="s">
        <v>3</v>
      </c>
      <c r="B5" s="30">
        <v>742</v>
      </c>
      <c r="C5" s="30">
        <v>137</v>
      </c>
    </row>
    <row r="6" spans="1:5" x14ac:dyDescent="0.3">
      <c r="A6" s="4" t="s">
        <v>4</v>
      </c>
      <c r="B6" s="19">
        <v>921</v>
      </c>
      <c r="C6" s="6">
        <v>249</v>
      </c>
    </row>
    <row r="7" spans="1:5" x14ac:dyDescent="0.3">
      <c r="A7" s="4" t="s">
        <v>5</v>
      </c>
      <c r="B7" s="18">
        <v>959</v>
      </c>
      <c r="C7" s="5">
        <v>125</v>
      </c>
    </row>
    <row r="8" spans="1:5" s="15" customFormat="1" x14ac:dyDescent="0.3">
      <c r="A8" s="14" t="s">
        <v>6</v>
      </c>
      <c r="B8" s="6">
        <v>0</v>
      </c>
      <c r="C8" s="6">
        <v>0</v>
      </c>
    </row>
    <row r="9" spans="1:5" x14ac:dyDescent="0.3">
      <c r="A9" s="4" t="s">
        <v>7</v>
      </c>
      <c r="B9" s="5">
        <v>3</v>
      </c>
      <c r="C9" s="5">
        <v>2</v>
      </c>
    </row>
    <row r="10" spans="1:5" x14ac:dyDescent="0.3">
      <c r="A10" s="4" t="s">
        <v>8</v>
      </c>
      <c r="B10" s="5">
        <v>311</v>
      </c>
      <c r="C10" s="5">
        <v>44</v>
      </c>
    </row>
    <row r="11" spans="1:5" x14ac:dyDescent="0.3">
      <c r="A11" s="4" t="s">
        <v>9</v>
      </c>
      <c r="B11" s="5">
        <v>0</v>
      </c>
      <c r="C11" s="5">
        <v>0</v>
      </c>
    </row>
    <row r="12" spans="1:5" x14ac:dyDescent="0.3">
      <c r="A12" s="4" t="s">
        <v>10</v>
      </c>
      <c r="B12" s="5">
        <v>124</v>
      </c>
      <c r="C12" s="5">
        <v>26</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dimension ref="A1:P24"/>
  <sheetViews>
    <sheetView zoomScale="103" zoomScaleNormal="130" workbookViewId="0">
      <selection activeCell="B18" sqref="B18"/>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144</v>
      </c>
      <c r="B1" s="44"/>
      <c r="C1" s="44"/>
      <c r="D1" s="44"/>
      <c r="E1" s="2"/>
    </row>
    <row r="2" spans="1:5" x14ac:dyDescent="0.3">
      <c r="B2" s="9" t="s">
        <v>1</v>
      </c>
      <c r="C2" s="10" t="s">
        <v>0</v>
      </c>
    </row>
    <row r="3" spans="1:5" ht="15" thickBot="1" x14ac:dyDescent="0.35">
      <c r="B3" s="20">
        <f>SUM(B4,B5,B6,B7,B8,B9,B10,B11,B12,B13,B16,B15,B14)</f>
        <v>3194</v>
      </c>
      <c r="C3" s="12">
        <f>SUM(C4,C5,C6,C7,C8,C9,,C10,C11,C12,C13,C16,C15,C14)</f>
        <v>657</v>
      </c>
    </row>
    <row r="4" spans="1:5" s="5" customFormat="1" x14ac:dyDescent="0.3">
      <c r="A4" s="4" t="s">
        <v>2</v>
      </c>
      <c r="B4" s="5">
        <v>342</v>
      </c>
      <c r="C4" s="5">
        <v>87</v>
      </c>
    </row>
    <row r="5" spans="1:5" x14ac:dyDescent="0.3">
      <c r="A5" s="4" t="s">
        <v>3</v>
      </c>
      <c r="B5" s="30">
        <v>681</v>
      </c>
      <c r="C5" s="30">
        <v>136</v>
      </c>
    </row>
    <row r="6" spans="1:5" x14ac:dyDescent="0.3">
      <c r="A6" s="4" t="s">
        <v>4</v>
      </c>
      <c r="B6" s="19">
        <v>857</v>
      </c>
      <c r="C6" s="6">
        <v>244</v>
      </c>
    </row>
    <row r="7" spans="1:5" x14ac:dyDescent="0.3">
      <c r="A7" s="4" t="s">
        <v>5</v>
      </c>
      <c r="B7" s="18">
        <v>890</v>
      </c>
      <c r="C7" s="5">
        <v>122</v>
      </c>
    </row>
    <row r="8" spans="1:5" s="15" customFormat="1" x14ac:dyDescent="0.3">
      <c r="A8" s="14" t="s">
        <v>6</v>
      </c>
      <c r="B8" s="6">
        <v>0</v>
      </c>
      <c r="C8" s="6">
        <v>0</v>
      </c>
    </row>
    <row r="9" spans="1:5" x14ac:dyDescent="0.3">
      <c r="A9" s="4" t="s">
        <v>7</v>
      </c>
      <c r="B9" s="5">
        <v>3</v>
      </c>
      <c r="C9" s="5">
        <v>2</v>
      </c>
    </row>
    <row r="10" spans="1:5" x14ac:dyDescent="0.3">
      <c r="A10" s="4" t="s">
        <v>8</v>
      </c>
      <c r="B10" s="5">
        <v>304</v>
      </c>
      <c r="C10" s="5">
        <v>43</v>
      </c>
    </row>
    <row r="11" spans="1:5" x14ac:dyDescent="0.3">
      <c r="A11" s="4" t="s">
        <v>9</v>
      </c>
      <c r="B11" s="5">
        <v>0</v>
      </c>
      <c r="C11" s="5">
        <v>0</v>
      </c>
    </row>
    <row r="12" spans="1:5" x14ac:dyDescent="0.3">
      <c r="A12" s="4" t="s">
        <v>10</v>
      </c>
      <c r="B12" s="5">
        <v>117</v>
      </c>
      <c r="C12" s="5">
        <v>23</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dimension ref="A1:P24"/>
  <sheetViews>
    <sheetView zoomScale="103" zoomScaleNormal="130" workbookViewId="0">
      <selection activeCell="D17" sqref="D17"/>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143</v>
      </c>
      <c r="B1" s="44"/>
      <c r="C1" s="44"/>
      <c r="D1" s="44"/>
      <c r="E1" s="2"/>
    </row>
    <row r="2" spans="1:5" x14ac:dyDescent="0.3">
      <c r="B2" s="9" t="s">
        <v>1</v>
      </c>
      <c r="C2" s="10" t="s">
        <v>0</v>
      </c>
    </row>
    <row r="3" spans="1:5" ht="15" thickBot="1" x14ac:dyDescent="0.35">
      <c r="B3" s="20">
        <f>SUM(B4,B5,B6,B7,B8,B9,B10,B11,B12,B13,B16,B15,B14)</f>
        <v>3145</v>
      </c>
      <c r="C3" s="12">
        <f>SUM(C4,C5,C6,C7,C8,C9,,C10,C11,C12,C13,C16,C15,C14)</f>
        <v>617</v>
      </c>
    </row>
    <row r="4" spans="1:5" s="5" customFormat="1" x14ac:dyDescent="0.3">
      <c r="A4" s="4" t="s">
        <v>2</v>
      </c>
      <c r="B4" s="5">
        <v>346</v>
      </c>
      <c r="C4" s="5">
        <v>75</v>
      </c>
    </row>
    <row r="5" spans="1:5" x14ac:dyDescent="0.3">
      <c r="A5" s="4" t="s">
        <v>3</v>
      </c>
      <c r="B5" s="30">
        <v>682</v>
      </c>
      <c r="C5" s="30">
        <v>124</v>
      </c>
    </row>
    <row r="6" spans="1:5" x14ac:dyDescent="0.3">
      <c r="A6" s="4" t="s">
        <v>4</v>
      </c>
      <c r="B6" s="19">
        <v>829</v>
      </c>
      <c r="C6" s="6">
        <v>228</v>
      </c>
    </row>
    <row r="7" spans="1:5" x14ac:dyDescent="0.3">
      <c r="A7" s="4" t="s">
        <v>5</v>
      </c>
      <c r="B7" s="18">
        <v>848</v>
      </c>
      <c r="C7" s="5">
        <v>113</v>
      </c>
    </row>
    <row r="8" spans="1:5" s="15" customFormat="1" x14ac:dyDescent="0.3">
      <c r="A8" s="14" t="s">
        <v>6</v>
      </c>
      <c r="B8" s="6">
        <v>0</v>
      </c>
      <c r="C8" s="6">
        <v>0</v>
      </c>
    </row>
    <row r="9" spans="1:5" x14ac:dyDescent="0.3">
      <c r="A9" s="4" t="s">
        <v>7</v>
      </c>
      <c r="B9" s="5">
        <v>4</v>
      </c>
      <c r="C9" s="5">
        <v>3</v>
      </c>
    </row>
    <row r="10" spans="1:5" x14ac:dyDescent="0.3">
      <c r="A10" s="4" t="s">
        <v>8</v>
      </c>
      <c r="B10" s="5">
        <v>298</v>
      </c>
      <c r="C10" s="5">
        <v>43</v>
      </c>
    </row>
    <row r="11" spans="1:5" x14ac:dyDescent="0.3">
      <c r="A11" s="4" t="s">
        <v>9</v>
      </c>
      <c r="B11" s="5">
        <v>0</v>
      </c>
      <c r="C11" s="5">
        <v>0</v>
      </c>
    </row>
    <row r="12" spans="1:5" x14ac:dyDescent="0.3">
      <c r="A12" s="4" t="s">
        <v>10</v>
      </c>
      <c r="B12" s="5">
        <v>138</v>
      </c>
      <c r="C12" s="5">
        <v>31</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dimension ref="A1:P24"/>
  <sheetViews>
    <sheetView zoomScale="103" zoomScaleNormal="130" workbookViewId="0">
      <selection activeCell="C15" sqref="C15"/>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142</v>
      </c>
      <c r="B1" s="44"/>
      <c r="C1" s="44"/>
      <c r="D1" s="44"/>
      <c r="E1" s="2"/>
    </row>
    <row r="2" spans="1:5" x14ac:dyDescent="0.3">
      <c r="B2" s="9" t="s">
        <v>1</v>
      </c>
      <c r="C2" s="10" t="s">
        <v>0</v>
      </c>
    </row>
    <row r="3" spans="1:5" ht="15" thickBot="1" x14ac:dyDescent="0.35">
      <c r="B3" s="20">
        <f>SUM(B4,B5,B6,B7,B8,B9,B10,B11,B12,B13,B16,B15,B14)</f>
        <v>3108</v>
      </c>
      <c r="C3" s="12">
        <f>SUM(C4,C5,C6,C7,C8,C9,,C10,C11,C12,C13,C16,C15,C14)</f>
        <v>596</v>
      </c>
    </row>
    <row r="4" spans="1:5" s="5" customFormat="1" x14ac:dyDescent="0.3">
      <c r="A4" s="4" t="s">
        <v>2</v>
      </c>
      <c r="B4" s="5">
        <v>352</v>
      </c>
      <c r="C4" s="5">
        <v>74</v>
      </c>
    </row>
    <row r="5" spans="1:5" x14ac:dyDescent="0.3">
      <c r="A5" s="4" t="s">
        <v>3</v>
      </c>
      <c r="B5" s="30">
        <v>654</v>
      </c>
      <c r="C5" s="30">
        <v>112</v>
      </c>
    </row>
    <row r="6" spans="1:5" x14ac:dyDescent="0.3">
      <c r="A6" s="4" t="s">
        <v>4</v>
      </c>
      <c r="B6" s="19">
        <v>811</v>
      </c>
      <c r="C6" s="6">
        <v>221</v>
      </c>
    </row>
    <row r="7" spans="1:5" x14ac:dyDescent="0.3">
      <c r="A7" s="4" t="s">
        <v>5</v>
      </c>
      <c r="B7" s="18">
        <v>844</v>
      </c>
      <c r="C7" s="5">
        <v>121</v>
      </c>
    </row>
    <row r="8" spans="1:5" s="15" customFormat="1" x14ac:dyDescent="0.3">
      <c r="A8" s="14" t="s">
        <v>6</v>
      </c>
      <c r="B8" s="6">
        <v>0</v>
      </c>
      <c r="C8" s="6">
        <v>0</v>
      </c>
    </row>
    <row r="9" spans="1:5" x14ac:dyDescent="0.3">
      <c r="A9" s="4" t="s">
        <v>7</v>
      </c>
      <c r="B9" s="5">
        <v>3</v>
      </c>
      <c r="C9" s="5">
        <v>3</v>
      </c>
    </row>
    <row r="10" spans="1:5" x14ac:dyDescent="0.3">
      <c r="A10" s="4" t="s">
        <v>8</v>
      </c>
      <c r="B10" s="5">
        <v>300</v>
      </c>
      <c r="C10" s="5">
        <v>38</v>
      </c>
    </row>
    <row r="11" spans="1:5" x14ac:dyDescent="0.3">
      <c r="A11" s="4" t="s">
        <v>9</v>
      </c>
      <c r="B11" s="5">
        <v>0</v>
      </c>
      <c r="C11" s="5">
        <v>0</v>
      </c>
    </row>
    <row r="12" spans="1:5" x14ac:dyDescent="0.3">
      <c r="A12" s="4" t="s">
        <v>10</v>
      </c>
      <c r="B12" s="5">
        <v>144</v>
      </c>
      <c r="C12" s="5">
        <v>27</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A1:P24"/>
  <sheetViews>
    <sheetView zoomScale="103" zoomScaleNormal="130" workbookViewId="0">
      <selection activeCell="D14" sqref="D1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141</v>
      </c>
      <c r="B1" s="44"/>
      <c r="C1" s="44"/>
      <c r="D1" s="44"/>
      <c r="E1" s="2"/>
    </row>
    <row r="2" spans="1:5" x14ac:dyDescent="0.3">
      <c r="B2" s="9" t="s">
        <v>1</v>
      </c>
      <c r="C2" s="10" t="s">
        <v>0</v>
      </c>
    </row>
    <row r="3" spans="1:5" ht="15" thickBot="1" x14ac:dyDescent="0.35">
      <c r="B3" s="20">
        <f>SUM(B4,B5,B6,B7,B8,B9,B10,B11,B12,B13,B16,B15,B14)</f>
        <v>2968</v>
      </c>
      <c r="C3" s="12">
        <f>SUM(C4,C5,C6,C7,C8,C9,,C10,C11,C12,C13,C16,C15,C14)</f>
        <v>565</v>
      </c>
    </row>
    <row r="4" spans="1:5" s="5" customFormat="1" x14ac:dyDescent="0.3">
      <c r="A4" s="4" t="s">
        <v>2</v>
      </c>
      <c r="B4" s="5">
        <v>338</v>
      </c>
      <c r="C4" s="5">
        <v>76</v>
      </c>
    </row>
    <row r="5" spans="1:5" x14ac:dyDescent="0.3">
      <c r="A5" s="4" t="s">
        <v>3</v>
      </c>
      <c r="B5" s="30">
        <v>601</v>
      </c>
      <c r="C5" s="30">
        <v>100</v>
      </c>
    </row>
    <row r="6" spans="1:5" x14ac:dyDescent="0.3">
      <c r="A6" s="4" t="s">
        <v>4</v>
      </c>
      <c r="B6" s="19">
        <v>725</v>
      </c>
      <c r="C6" s="6">
        <v>213</v>
      </c>
    </row>
    <row r="7" spans="1:5" x14ac:dyDescent="0.3">
      <c r="A7" s="4" t="s">
        <v>5</v>
      </c>
      <c r="B7" s="18">
        <v>818</v>
      </c>
      <c r="C7" s="5">
        <v>105</v>
      </c>
    </row>
    <row r="8" spans="1:5" s="15" customFormat="1" x14ac:dyDescent="0.3">
      <c r="A8" s="14" t="s">
        <v>6</v>
      </c>
      <c r="B8" s="6">
        <v>0</v>
      </c>
      <c r="C8" s="6">
        <v>0</v>
      </c>
    </row>
    <row r="9" spans="1:5" x14ac:dyDescent="0.3">
      <c r="A9" s="4" t="s">
        <v>7</v>
      </c>
      <c r="B9" s="5">
        <v>3</v>
      </c>
      <c r="C9" s="5">
        <v>2</v>
      </c>
    </row>
    <row r="10" spans="1:5" x14ac:dyDescent="0.3">
      <c r="A10" s="4" t="s">
        <v>8</v>
      </c>
      <c r="B10" s="5">
        <v>348</v>
      </c>
      <c r="C10" s="5">
        <v>43</v>
      </c>
    </row>
    <row r="11" spans="1:5" x14ac:dyDescent="0.3">
      <c r="A11" s="4" t="s">
        <v>9</v>
      </c>
      <c r="B11" s="5">
        <v>0</v>
      </c>
      <c r="C11" s="5">
        <v>0</v>
      </c>
    </row>
    <row r="12" spans="1:5" x14ac:dyDescent="0.3">
      <c r="A12" s="4" t="s">
        <v>10</v>
      </c>
      <c r="B12" s="5">
        <v>135</v>
      </c>
      <c r="C12" s="5">
        <v>26</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dimension ref="A1:P24"/>
  <sheetViews>
    <sheetView zoomScale="103" zoomScaleNormal="130" workbookViewId="0">
      <selection activeCell="C15" sqref="C15"/>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140</v>
      </c>
      <c r="B1" s="44"/>
      <c r="C1" s="44"/>
      <c r="D1" s="44"/>
      <c r="E1" s="2"/>
    </row>
    <row r="2" spans="1:5" x14ac:dyDescent="0.3">
      <c r="B2" s="9" t="s">
        <v>1</v>
      </c>
      <c r="C2" s="10" t="s">
        <v>0</v>
      </c>
    </row>
    <row r="3" spans="1:5" ht="15" thickBot="1" x14ac:dyDescent="0.35">
      <c r="B3" s="20">
        <f>SUM(B4,B5,B6,B7,B8,B9,B10,B11,B12,B13,B16,B15,B14)</f>
        <v>2683</v>
      </c>
      <c r="C3" s="12">
        <f>SUM(C4,C5,C6,C7,C8,C9,,C10,C11,C12,C13,C16,C15,C14)</f>
        <v>530</v>
      </c>
    </row>
    <row r="4" spans="1:5" s="5" customFormat="1" x14ac:dyDescent="0.3">
      <c r="A4" s="4" t="s">
        <v>2</v>
      </c>
      <c r="B4" s="5">
        <v>336</v>
      </c>
      <c r="C4" s="5">
        <v>76</v>
      </c>
    </row>
    <row r="5" spans="1:5" x14ac:dyDescent="0.3">
      <c r="A5" s="4" t="s">
        <v>3</v>
      </c>
      <c r="B5" s="30">
        <v>479</v>
      </c>
      <c r="C5" s="30">
        <v>97</v>
      </c>
    </row>
    <row r="6" spans="1:5" x14ac:dyDescent="0.3">
      <c r="A6" s="4" t="s">
        <v>4</v>
      </c>
      <c r="B6" s="19">
        <v>656</v>
      </c>
      <c r="C6" s="6">
        <v>183</v>
      </c>
    </row>
    <row r="7" spans="1:5" x14ac:dyDescent="0.3">
      <c r="A7" s="4" t="s">
        <v>5</v>
      </c>
      <c r="B7" s="18">
        <v>740</v>
      </c>
      <c r="C7" s="5">
        <v>99</v>
      </c>
    </row>
    <row r="8" spans="1:5" s="15" customFormat="1" x14ac:dyDescent="0.3">
      <c r="A8" s="14" t="s">
        <v>6</v>
      </c>
      <c r="B8" s="6">
        <v>0</v>
      </c>
      <c r="C8" s="6">
        <v>0</v>
      </c>
    </row>
    <row r="9" spans="1:5" x14ac:dyDescent="0.3">
      <c r="A9" s="4" t="s">
        <v>7</v>
      </c>
      <c r="B9" s="5">
        <v>0</v>
      </c>
      <c r="C9" s="5">
        <v>0</v>
      </c>
    </row>
    <row r="10" spans="1:5" x14ac:dyDescent="0.3">
      <c r="A10" s="4" t="s">
        <v>8</v>
      </c>
      <c r="B10" s="5">
        <v>351</v>
      </c>
      <c r="C10" s="5">
        <v>51</v>
      </c>
    </row>
    <row r="11" spans="1:5" x14ac:dyDescent="0.3">
      <c r="A11" s="4" t="s">
        <v>9</v>
      </c>
      <c r="B11" s="5">
        <v>0</v>
      </c>
      <c r="C11" s="5">
        <v>0</v>
      </c>
    </row>
    <row r="12" spans="1:5" x14ac:dyDescent="0.3">
      <c r="A12" s="4" t="s">
        <v>10</v>
      </c>
      <c r="B12" s="5">
        <v>121</v>
      </c>
      <c r="C12" s="5">
        <v>24</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dimension ref="A1:P24"/>
  <sheetViews>
    <sheetView zoomScale="103" zoomScaleNormal="130" workbookViewId="0">
      <selection activeCell="D17" sqref="D17"/>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139</v>
      </c>
      <c r="B1" s="44"/>
      <c r="C1" s="44"/>
      <c r="D1" s="44"/>
      <c r="E1" s="2"/>
    </row>
    <row r="2" spans="1:5" x14ac:dyDescent="0.3">
      <c r="B2" s="9" t="s">
        <v>1</v>
      </c>
      <c r="C2" s="10" t="s">
        <v>0</v>
      </c>
    </row>
    <row r="3" spans="1:5" ht="15" thickBot="1" x14ac:dyDescent="0.35">
      <c r="B3" s="20">
        <f>SUM(B4,B5,B6,B7,B8,B9,B10,B11,B12,B13,B16,B15,B14)</f>
        <v>2513</v>
      </c>
      <c r="C3" s="12">
        <f>SUM(C4,C5,C6,C7,C8,C9,,C10,C11,C12,C13,C16,C15,C14)</f>
        <v>492</v>
      </c>
    </row>
    <row r="4" spans="1:5" s="5" customFormat="1" x14ac:dyDescent="0.3">
      <c r="A4" s="4" t="s">
        <v>2</v>
      </c>
      <c r="B4" s="5">
        <v>301</v>
      </c>
      <c r="C4" s="5">
        <v>69</v>
      </c>
    </row>
    <row r="5" spans="1:5" x14ac:dyDescent="0.3">
      <c r="A5" s="4" t="s">
        <v>3</v>
      </c>
      <c r="B5" s="30">
        <v>435</v>
      </c>
      <c r="C5" s="30">
        <v>95</v>
      </c>
    </row>
    <row r="6" spans="1:5" x14ac:dyDescent="0.3">
      <c r="A6" s="4" t="s">
        <v>4</v>
      </c>
      <c r="B6" s="19">
        <v>618</v>
      </c>
      <c r="C6" s="6">
        <v>168</v>
      </c>
    </row>
    <row r="7" spans="1:5" x14ac:dyDescent="0.3">
      <c r="A7" s="4" t="s">
        <v>5</v>
      </c>
      <c r="B7" s="18">
        <v>693</v>
      </c>
      <c r="C7" s="5">
        <v>94</v>
      </c>
    </row>
    <row r="8" spans="1:5" s="15" customFormat="1" x14ac:dyDescent="0.3">
      <c r="A8" s="14" t="s">
        <v>6</v>
      </c>
      <c r="B8" s="6">
        <v>0</v>
      </c>
      <c r="C8" s="6">
        <v>0</v>
      </c>
    </row>
    <row r="9" spans="1:5" x14ac:dyDescent="0.3">
      <c r="A9" s="4" t="s">
        <v>7</v>
      </c>
      <c r="B9" s="5">
        <v>1</v>
      </c>
      <c r="C9" s="5">
        <v>0</v>
      </c>
    </row>
    <row r="10" spans="1:5" x14ac:dyDescent="0.3">
      <c r="A10" s="4" t="s">
        <v>8</v>
      </c>
      <c r="B10" s="5">
        <v>342</v>
      </c>
      <c r="C10" s="5">
        <v>43</v>
      </c>
    </row>
    <row r="11" spans="1:5" x14ac:dyDescent="0.3">
      <c r="A11" s="4" t="s">
        <v>9</v>
      </c>
      <c r="B11" s="5">
        <v>0</v>
      </c>
      <c r="C11" s="5">
        <v>0</v>
      </c>
    </row>
    <row r="12" spans="1:5" x14ac:dyDescent="0.3">
      <c r="A12" s="4" t="s">
        <v>10</v>
      </c>
      <c r="B12" s="5">
        <v>123</v>
      </c>
      <c r="C12" s="5">
        <v>23</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CA6BC-15D0-4FC4-BD07-DA742F70D09C}">
  <dimension ref="A1:P27"/>
  <sheetViews>
    <sheetView topLeftCell="A2" zoomScaleNormal="100" workbookViewId="0">
      <selection activeCell="C18" sqref="C18"/>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533</v>
      </c>
      <c r="B1" s="44"/>
      <c r="C1" s="44"/>
      <c r="D1" s="44"/>
      <c r="E1" s="2"/>
    </row>
    <row r="2" spans="1:5" x14ac:dyDescent="0.3">
      <c r="B2" s="9" t="s">
        <v>1</v>
      </c>
      <c r="C2" s="10" t="s">
        <v>0</v>
      </c>
    </row>
    <row r="3" spans="1:5" ht="15" thickBot="1" x14ac:dyDescent="0.35">
      <c r="B3" s="20">
        <f>SUM(B4,B5,B6,B7,B8,B9,B10,B11,B12,B13,B16,B15,B14)</f>
        <v>4916</v>
      </c>
      <c r="C3" s="12">
        <f>SUM(C4,C5,C6,C7,C8,C9,,C10,C11,C12,C13,C16,C15,C14)</f>
        <v>289</v>
      </c>
    </row>
    <row r="4" spans="1:5" s="5" customFormat="1" x14ac:dyDescent="0.3">
      <c r="A4" s="4" t="s">
        <v>2</v>
      </c>
      <c r="B4" s="18">
        <v>385</v>
      </c>
      <c r="C4" s="5">
        <v>23</v>
      </c>
    </row>
    <row r="5" spans="1:5" x14ac:dyDescent="0.3">
      <c r="A5" s="4" t="s">
        <v>3</v>
      </c>
      <c r="B5" s="30">
        <v>748</v>
      </c>
      <c r="C5" s="30">
        <v>28</v>
      </c>
      <c r="D5" s="5"/>
    </row>
    <row r="6" spans="1:5" x14ac:dyDescent="0.3">
      <c r="A6" s="4" t="s">
        <v>4</v>
      </c>
      <c r="B6" s="19">
        <v>1382</v>
      </c>
      <c r="C6" s="6">
        <v>142</v>
      </c>
      <c r="D6" s="5"/>
    </row>
    <row r="7" spans="1:5" x14ac:dyDescent="0.3">
      <c r="A7" s="4" t="s">
        <v>5</v>
      </c>
      <c r="B7" s="32">
        <v>2000</v>
      </c>
      <c r="C7" s="5">
        <v>57</v>
      </c>
      <c r="D7" s="5"/>
    </row>
    <row r="8" spans="1:5" s="15" customFormat="1" x14ac:dyDescent="0.3">
      <c r="A8" s="14" t="s">
        <v>6</v>
      </c>
      <c r="B8" s="6">
        <v>50</v>
      </c>
      <c r="C8" s="6">
        <v>7</v>
      </c>
      <c r="D8" s="5"/>
    </row>
    <row r="9" spans="1:5" x14ac:dyDescent="0.3">
      <c r="A9" s="4" t="s">
        <v>7</v>
      </c>
      <c r="B9" s="5">
        <v>32</v>
      </c>
      <c r="C9" s="5">
        <v>3</v>
      </c>
      <c r="D9" s="5"/>
    </row>
    <row r="10" spans="1:5" x14ac:dyDescent="0.3">
      <c r="A10" s="4" t="s">
        <v>8</v>
      </c>
      <c r="B10" s="5">
        <v>57</v>
      </c>
      <c r="C10" s="5">
        <v>12</v>
      </c>
      <c r="D10" s="5"/>
    </row>
    <row r="11" spans="1:5" x14ac:dyDescent="0.3">
      <c r="A11" s="4" t="s">
        <v>9</v>
      </c>
      <c r="B11" s="5">
        <v>19</v>
      </c>
      <c r="C11" s="5">
        <v>0</v>
      </c>
      <c r="D11" s="5"/>
    </row>
    <row r="12" spans="1:5" x14ac:dyDescent="0.3">
      <c r="A12" s="4" t="s">
        <v>10</v>
      </c>
      <c r="B12" s="5">
        <v>229</v>
      </c>
      <c r="C12" s="5">
        <v>15</v>
      </c>
      <c r="D12" s="5"/>
    </row>
    <row r="13" spans="1:5" x14ac:dyDescent="0.3">
      <c r="A13" s="4" t="s">
        <v>11</v>
      </c>
      <c r="B13" s="5">
        <v>14</v>
      </c>
      <c r="C13" s="5">
        <v>2</v>
      </c>
      <c r="D13" s="5"/>
    </row>
    <row r="14" spans="1:5" x14ac:dyDescent="0.3">
      <c r="A14" s="4" t="s">
        <v>12</v>
      </c>
      <c r="B14" s="8">
        <v>0</v>
      </c>
      <c r="C14" s="7">
        <v>0</v>
      </c>
      <c r="D14" s="5"/>
    </row>
    <row r="15" spans="1:5" x14ac:dyDescent="0.3">
      <c r="A15" s="4" t="s">
        <v>13</v>
      </c>
      <c r="B15" s="5">
        <v>0</v>
      </c>
      <c r="C15" s="5">
        <v>0</v>
      </c>
      <c r="D15" s="5" t="s">
        <v>231</v>
      </c>
    </row>
    <row r="16" spans="1:5" x14ac:dyDescent="0.3">
      <c r="A16" s="4" t="s">
        <v>14</v>
      </c>
      <c r="B16" s="5">
        <v>0</v>
      </c>
      <c r="C16" s="5">
        <v>0</v>
      </c>
      <c r="D16" s="5"/>
    </row>
    <row r="17" spans="1:9" x14ac:dyDescent="0.3">
      <c r="B17" s="3"/>
    </row>
    <row r="20" spans="1:9" x14ac:dyDescent="0.3">
      <c r="A20" s="1" t="s">
        <v>122</v>
      </c>
    </row>
    <row r="21" spans="1:9" s="3" customFormat="1" x14ac:dyDescent="0.3">
      <c r="A21" s="33" t="s">
        <v>532</v>
      </c>
      <c r="B21" s="8"/>
    </row>
    <row r="22" spans="1:9" s="3" customFormat="1" x14ac:dyDescent="0.3">
      <c r="A22" s="34" t="s">
        <v>531</v>
      </c>
      <c r="B22" s="8"/>
    </row>
    <row r="23" spans="1:9" s="3" customFormat="1" x14ac:dyDescent="0.3">
      <c r="A23" s="35" t="s">
        <v>471</v>
      </c>
      <c r="B23" s="8"/>
    </row>
    <row r="24" spans="1:9" s="3" customFormat="1" x14ac:dyDescent="0.3">
      <c r="A24" s="33" t="s">
        <v>534</v>
      </c>
      <c r="B24" s="8"/>
    </row>
    <row r="25" spans="1:9" s="3" customFormat="1" x14ac:dyDescent="0.3">
      <c r="A25" s="36" t="s">
        <v>535</v>
      </c>
      <c r="B25" s="8"/>
    </row>
    <row r="26" spans="1:9" s="3" customFormat="1" x14ac:dyDescent="0.3">
      <c r="A26" s="33" t="s">
        <v>520</v>
      </c>
      <c r="B26" s="8"/>
      <c r="I26" s="3" t="s">
        <v>414</v>
      </c>
    </row>
    <row r="27" spans="1:9" x14ac:dyDescent="0.3">
      <c r="A27" s="33" t="s">
        <v>536</v>
      </c>
    </row>
  </sheetData>
  <mergeCells count="1">
    <mergeCell ref="A1:D1"/>
  </mergeCells>
  <hyperlinks>
    <hyperlink ref="A21" r:id="rId1" display="** NT's official website does not disclose the number of current hospitalizations, but according to a news article dated July 31st,  the NWT Department of Health and Social Services spokesperson Jeremy Bird informed that 'There has been a slight uptick in hospitalizations recently, with four in the last 30 days, but this has been manageable so far.'" xr:uid="{982E7573-7363-442B-8FD9-082BEE041365}"/>
    <hyperlink ref="A22" r:id="rId2" display="**** YT's official website is now informing the number of hospitalizations, which is 2 as of March 7th." xr:uid="{56F9B3A8-5F43-4FC2-B4CB-37BBE66877C0}"/>
    <hyperlink ref="A23" r:id="rId3" xr:uid="{91407AA3-B58F-439E-833A-0A2C9A548E68}"/>
    <hyperlink ref="A24" r:id="rId4" display="*****NB's latest official report only informs the number of patients admitted for Covid-19, not including the number of patients that were admitted for other reasons and tested positive for Covid-19 later on." xr:uid="{E07DEEEF-879E-4516-AE47-9C6EF6E118A8}"/>
    <hyperlink ref="A26" r:id="rId5" display="*******SK's information was extracted from the latest official report from May 25th, covering the week of May 15th-21st." xr:uid="{E330D4A5-140F-4035-B5C3-63BB2D2E553C}"/>
    <hyperlink ref="A25" r:id="rId6" display="******MB's official website is no longer doing daily reporting. The information was extracted from the latest offical report from May 10th. Note that these are the numbers of new hospitalizations and ICU admissions for the May 1st-7th week. The numbers of" xr:uid="{9FE6AB19-8F54-4674-91E4-79E0EDDA1EDE}"/>
    <hyperlink ref="A27" r:id="rId7" display="********ON stopped doing daily reporting. The information was extracted from a news article dated August 5th, 2022." xr:uid="{D8BD8B0D-2B0A-41F4-A9EC-86E47408683B}"/>
  </hyperlinks>
  <pageMargins left="0.7" right="0.7" top="0.75" bottom="0.75" header="0.3" footer="0.3"/>
  <pageSetup orientation="portrait" r:id="rId8"/>
  <drawing r:id="rId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26"/>
  <sheetViews>
    <sheetView zoomScaleNormal="100" workbookViewId="0">
      <selection activeCell="C7" sqref="C7"/>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446</v>
      </c>
      <c r="B1" s="44"/>
      <c r="C1" s="44"/>
      <c r="D1" s="44"/>
      <c r="E1" s="2"/>
    </row>
    <row r="2" spans="1:5" x14ac:dyDescent="0.3">
      <c r="B2" s="9" t="s">
        <v>1</v>
      </c>
      <c r="C2" s="10" t="s">
        <v>0</v>
      </c>
    </row>
    <row r="3" spans="1:5" ht="15" thickBot="1" x14ac:dyDescent="0.35">
      <c r="B3" s="20">
        <f>SUM(B4,B5,B6,B7,B8,B9,B10,B11,B12,B13,B16,B15,B14)</f>
        <v>5318</v>
      </c>
      <c r="C3" s="12">
        <f>SUM(C4,C5,C6,C7,C8,C9,,C10,C11,C12,C13,C16,C15,C14)</f>
        <v>407</v>
      </c>
    </row>
    <row r="4" spans="1:5" s="5" customFormat="1" x14ac:dyDescent="0.3">
      <c r="A4" s="4" t="s">
        <v>2</v>
      </c>
      <c r="B4" s="5">
        <v>324</v>
      </c>
      <c r="C4" s="5">
        <v>38</v>
      </c>
    </row>
    <row r="5" spans="1:5" x14ac:dyDescent="0.3">
      <c r="A5" s="4" t="s">
        <v>3</v>
      </c>
      <c r="B5" s="30">
        <v>990</v>
      </c>
      <c r="C5" s="30">
        <v>44</v>
      </c>
      <c r="D5" s="5"/>
    </row>
    <row r="6" spans="1:5" x14ac:dyDescent="0.3">
      <c r="A6" s="4" t="s">
        <v>4</v>
      </c>
      <c r="B6" s="19">
        <v>1090</v>
      </c>
      <c r="C6" s="6">
        <v>184</v>
      </c>
      <c r="D6" s="5"/>
    </row>
    <row r="7" spans="1:5" x14ac:dyDescent="0.3">
      <c r="A7" s="4" t="s">
        <v>5</v>
      </c>
      <c r="B7" s="32">
        <v>1793</v>
      </c>
      <c r="C7" s="5">
        <v>69</v>
      </c>
      <c r="D7" s="5"/>
    </row>
    <row r="8" spans="1:5" s="15" customFormat="1" x14ac:dyDescent="0.3">
      <c r="A8" s="14" t="s">
        <v>6</v>
      </c>
      <c r="B8" s="6">
        <v>57</v>
      </c>
      <c r="C8" s="6">
        <v>9</v>
      </c>
      <c r="D8" s="5"/>
    </row>
    <row r="9" spans="1:5" x14ac:dyDescent="0.3">
      <c r="A9" s="4" t="s">
        <v>7</v>
      </c>
      <c r="B9" s="5">
        <v>178</v>
      </c>
      <c r="C9" s="5">
        <v>9</v>
      </c>
      <c r="D9" s="5"/>
    </row>
    <row r="10" spans="1:5" x14ac:dyDescent="0.3">
      <c r="A10" s="4" t="s">
        <v>8</v>
      </c>
      <c r="B10" s="5">
        <v>426</v>
      </c>
      <c r="C10" s="5">
        <v>24</v>
      </c>
      <c r="D10" s="5"/>
    </row>
    <row r="11" spans="1:5" x14ac:dyDescent="0.3">
      <c r="A11" s="4" t="s">
        <v>9</v>
      </c>
      <c r="B11" s="5">
        <v>30</v>
      </c>
      <c r="C11" s="5">
        <v>3</v>
      </c>
      <c r="D11" s="5"/>
    </row>
    <row r="12" spans="1:5" x14ac:dyDescent="0.3">
      <c r="A12" s="4" t="s">
        <v>10</v>
      </c>
      <c r="B12" s="5">
        <v>354</v>
      </c>
      <c r="C12" s="5">
        <v>20</v>
      </c>
      <c r="D12" s="5"/>
    </row>
    <row r="13" spans="1:5" x14ac:dyDescent="0.3">
      <c r="A13" s="4" t="s">
        <v>11</v>
      </c>
      <c r="B13" s="5">
        <v>35</v>
      </c>
      <c r="C13" s="5">
        <v>7</v>
      </c>
      <c r="D13" s="5"/>
    </row>
    <row r="14" spans="1:5" x14ac:dyDescent="0.3">
      <c r="A14" s="4" t="s">
        <v>12</v>
      </c>
      <c r="B14" s="8">
        <v>8</v>
      </c>
      <c r="C14" s="7">
        <v>0</v>
      </c>
      <c r="D14" s="5"/>
    </row>
    <row r="15" spans="1:5" x14ac:dyDescent="0.3">
      <c r="A15" s="4" t="s">
        <v>13</v>
      </c>
      <c r="B15" s="5">
        <v>0</v>
      </c>
      <c r="C15" s="5">
        <v>0</v>
      </c>
      <c r="D15" s="5" t="s">
        <v>231</v>
      </c>
    </row>
    <row r="16" spans="1:5" x14ac:dyDescent="0.3">
      <c r="A16" s="4" t="s">
        <v>14</v>
      </c>
      <c r="B16" s="5">
        <v>33</v>
      </c>
      <c r="C16" s="5">
        <v>0</v>
      </c>
      <c r="D16" s="5"/>
    </row>
    <row r="17" spans="1:9" x14ac:dyDescent="0.3">
      <c r="B17" s="3"/>
    </row>
    <row r="20" spans="1:9" x14ac:dyDescent="0.3">
      <c r="A20" s="1" t="s">
        <v>122</v>
      </c>
    </row>
    <row r="21" spans="1:9" s="3" customFormat="1" x14ac:dyDescent="0.3">
      <c r="A21" s="33" t="s">
        <v>441</v>
      </c>
      <c r="B21" s="8"/>
    </row>
    <row r="22" spans="1:9" s="3" customFormat="1" x14ac:dyDescent="0.3">
      <c r="A22" s="34" t="s">
        <v>442</v>
      </c>
      <c r="B22" s="8"/>
    </row>
    <row r="23" spans="1:9" s="3" customFormat="1" x14ac:dyDescent="0.3">
      <c r="A23" s="35" t="s">
        <v>443</v>
      </c>
      <c r="B23" s="8"/>
    </row>
    <row r="24" spans="1:9" s="3" customFormat="1" x14ac:dyDescent="0.3">
      <c r="A24" s="33" t="s">
        <v>444</v>
      </c>
      <c r="B24" s="8"/>
    </row>
    <row r="25" spans="1:9" s="3" customFormat="1" x14ac:dyDescent="0.3">
      <c r="A25" s="36" t="s">
        <v>447</v>
      </c>
      <c r="B25" s="8"/>
    </row>
    <row r="26" spans="1:9" s="3" customFormat="1" x14ac:dyDescent="0.3">
      <c r="A26" s="33" t="s">
        <v>440</v>
      </c>
      <c r="B26" s="8"/>
      <c r="I26" s="3" t="s">
        <v>414</v>
      </c>
    </row>
  </sheetData>
  <mergeCells count="1">
    <mergeCell ref="A1:D1"/>
  </mergeCells>
  <hyperlinks>
    <hyperlink ref="A21" r:id="rId1" display="*** NT's official website does not disclose the number of current hospitalizations, but according to the press, as of March 23th, there were 8 people in hospital with Covid-19." xr:uid="{00000000-0004-0000-0700-000000000000}"/>
    <hyperlink ref="A22" r:id="rId2" display="**** YT's official website is now informing the number of hospitalizations, which is 2 as of March 7th." xr:uid="{00000000-0004-0000-0700-000001000000}"/>
    <hyperlink ref="A23" r:id="rId3" display="***** NU's official website does not disclose the number of current hospitalizations, but according to the press as of March 9th, 33 people had been hospitalized since December 21st due to the Omicron wave. That number does not represent the total number " xr:uid="{00000000-0004-0000-0700-000002000000}"/>
    <hyperlink ref="A24" r:id="rId4" display="******NB's  information was extracted from a news article dated from April 5th." xr:uid="{00000000-0004-0000-0700-000003000000}"/>
    <hyperlink ref="A26" r:id="rId5" xr:uid="{00000000-0004-0000-0700-000004000000}"/>
    <hyperlink ref="A25" r:id="rId6" xr:uid="{00000000-0004-0000-0700-000005000000}"/>
  </hyperlinks>
  <pageMargins left="0.7" right="0.7" top="0.75" bottom="0.75" header="0.3" footer="0.3"/>
  <pageSetup orientation="portrait" r:id="rId7"/>
  <drawing r:id="rId8"/>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A1:P24"/>
  <sheetViews>
    <sheetView zoomScale="103" zoomScaleNormal="130" workbookViewId="0">
      <selection activeCell="C7" sqref="C7"/>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138</v>
      </c>
      <c r="B1" s="44"/>
      <c r="C1" s="44"/>
      <c r="D1" s="44"/>
      <c r="E1" s="2"/>
    </row>
    <row r="2" spans="1:5" x14ac:dyDescent="0.3">
      <c r="B2" s="9" t="s">
        <v>1</v>
      </c>
      <c r="C2" s="10" t="s">
        <v>0</v>
      </c>
    </row>
    <row r="3" spans="1:5" ht="15" thickBot="1" x14ac:dyDescent="0.35">
      <c r="B3" s="20">
        <f>SUM(B4,B5,B6,B7,B8,B9,B10,B11,B12,B13,B16,B15,B14)</f>
        <v>2321</v>
      </c>
      <c r="C3" s="12">
        <f>SUM(C4,C5,C6,C7,C8,C9,,C10,C11,C12,C13,C16,C15,C14)</f>
        <v>450</v>
      </c>
    </row>
    <row r="4" spans="1:5" s="5" customFormat="1" x14ac:dyDescent="0.3">
      <c r="A4" s="4" t="s">
        <v>2</v>
      </c>
      <c r="B4" s="5">
        <v>294</v>
      </c>
      <c r="C4" s="5">
        <v>64</v>
      </c>
    </row>
    <row r="5" spans="1:5" x14ac:dyDescent="0.3">
      <c r="A5" s="4" t="s">
        <v>3</v>
      </c>
      <c r="B5" s="30">
        <v>383</v>
      </c>
      <c r="C5" s="30">
        <v>84</v>
      </c>
    </row>
    <row r="6" spans="1:5" x14ac:dyDescent="0.3">
      <c r="A6" s="4" t="s">
        <v>4</v>
      </c>
      <c r="B6" s="19">
        <v>541</v>
      </c>
      <c r="C6" s="6">
        <v>151</v>
      </c>
    </row>
    <row r="7" spans="1:5" x14ac:dyDescent="0.3">
      <c r="A7" s="4" t="s">
        <v>5</v>
      </c>
      <c r="B7" s="18">
        <v>669</v>
      </c>
      <c r="C7" s="5">
        <v>90</v>
      </c>
    </row>
    <row r="8" spans="1:5" s="15" customFormat="1" x14ac:dyDescent="0.3">
      <c r="A8" s="14" t="s">
        <v>6</v>
      </c>
      <c r="B8" s="6">
        <v>0</v>
      </c>
      <c r="C8" s="6">
        <v>0</v>
      </c>
    </row>
    <row r="9" spans="1:5" x14ac:dyDescent="0.3">
      <c r="A9" s="4" t="s">
        <v>7</v>
      </c>
      <c r="B9" s="5">
        <v>1</v>
      </c>
      <c r="C9" s="5">
        <v>0</v>
      </c>
    </row>
    <row r="10" spans="1:5" x14ac:dyDescent="0.3">
      <c r="A10" s="4" t="s">
        <v>8</v>
      </c>
      <c r="B10" s="5">
        <v>322</v>
      </c>
      <c r="C10" s="5">
        <v>45</v>
      </c>
    </row>
    <row r="11" spans="1:5" x14ac:dyDescent="0.3">
      <c r="A11" s="4" t="s">
        <v>9</v>
      </c>
      <c r="B11" s="5">
        <v>0</v>
      </c>
      <c r="C11" s="5">
        <v>0</v>
      </c>
    </row>
    <row r="12" spans="1:5" x14ac:dyDescent="0.3">
      <c r="A12" s="4" t="s">
        <v>10</v>
      </c>
      <c r="B12" s="5">
        <v>111</v>
      </c>
      <c r="C12" s="5">
        <v>16</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A1:P24"/>
  <sheetViews>
    <sheetView zoomScale="103" zoomScaleNormal="130" workbookViewId="0">
      <selection activeCell="B13" sqref="B13"/>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137</v>
      </c>
      <c r="B1" s="44"/>
      <c r="C1" s="44"/>
      <c r="D1" s="44"/>
      <c r="E1" s="2"/>
    </row>
    <row r="2" spans="1:5" x14ac:dyDescent="0.3">
      <c r="B2" s="9" t="s">
        <v>1</v>
      </c>
      <c r="C2" s="10" t="s">
        <v>0</v>
      </c>
    </row>
    <row r="3" spans="1:5" ht="15" thickBot="1" x14ac:dyDescent="0.35">
      <c r="B3" s="20">
        <f>SUM(B4,B5,B6,B7,B8,B9,B10,B11,B12,B13,B16,B15,B14)</f>
        <v>2219</v>
      </c>
      <c r="C3" s="12">
        <f>SUM(C4,C5,C6,C7,C8,C9,,C10,C11,C12,C13,C16,C15,C14)</f>
        <v>449</v>
      </c>
    </row>
    <row r="4" spans="1:5" s="5" customFormat="1" x14ac:dyDescent="0.3">
      <c r="A4" s="4" t="s">
        <v>2</v>
      </c>
      <c r="B4" s="5">
        <v>284</v>
      </c>
      <c r="C4" s="5">
        <v>61</v>
      </c>
    </row>
    <row r="5" spans="1:5" x14ac:dyDescent="0.3">
      <c r="A5" s="4" t="s">
        <v>3</v>
      </c>
      <c r="B5" s="30">
        <v>348</v>
      </c>
      <c r="C5" s="30">
        <v>66</v>
      </c>
    </row>
    <row r="6" spans="1:5" x14ac:dyDescent="0.3">
      <c r="A6" s="4" t="s">
        <v>4</v>
      </c>
      <c r="B6" s="19">
        <v>523</v>
      </c>
      <c r="C6" s="6">
        <v>159</v>
      </c>
    </row>
    <row r="7" spans="1:5" x14ac:dyDescent="0.3">
      <c r="A7" s="4" t="s">
        <v>5</v>
      </c>
      <c r="B7" s="18">
        <v>655</v>
      </c>
      <c r="C7" s="5">
        <v>93</v>
      </c>
    </row>
    <row r="8" spans="1:5" s="15" customFormat="1" x14ac:dyDescent="0.3">
      <c r="A8" s="14" t="s">
        <v>6</v>
      </c>
      <c r="B8" s="6">
        <v>0</v>
      </c>
      <c r="C8" s="6">
        <v>0</v>
      </c>
    </row>
    <row r="9" spans="1:5" x14ac:dyDescent="0.3">
      <c r="A9" s="4" t="s">
        <v>7</v>
      </c>
      <c r="B9" s="5">
        <v>1</v>
      </c>
      <c r="C9" s="5">
        <v>0</v>
      </c>
    </row>
    <row r="10" spans="1:5" x14ac:dyDescent="0.3">
      <c r="A10" s="4" t="s">
        <v>8</v>
      </c>
      <c r="B10" s="5">
        <v>303</v>
      </c>
      <c r="C10" s="5">
        <v>50</v>
      </c>
    </row>
    <row r="11" spans="1:5" x14ac:dyDescent="0.3">
      <c r="A11" s="4" t="s">
        <v>9</v>
      </c>
      <c r="B11" s="5">
        <v>0</v>
      </c>
      <c r="C11" s="5">
        <v>0</v>
      </c>
    </row>
    <row r="12" spans="1:5" x14ac:dyDescent="0.3">
      <c r="A12" s="4" t="s">
        <v>10</v>
      </c>
      <c r="B12" s="5">
        <v>105</v>
      </c>
      <c r="C12" s="5">
        <v>20</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dimension ref="A1:P24"/>
  <sheetViews>
    <sheetView zoomScale="103" zoomScaleNormal="130" workbookViewId="0">
      <selection activeCell="K8" sqref="K8"/>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136</v>
      </c>
      <c r="B1" s="44"/>
      <c r="C1" s="44"/>
      <c r="D1" s="44"/>
      <c r="E1" s="2"/>
    </row>
    <row r="2" spans="1:5" x14ac:dyDescent="0.3">
      <c r="B2" s="9" t="s">
        <v>1</v>
      </c>
      <c r="C2" s="10" t="s">
        <v>0</v>
      </c>
    </row>
    <row r="3" spans="1:5" ht="15" thickBot="1" x14ac:dyDescent="0.35">
      <c r="B3" s="20">
        <f>SUM(B4,B5,B6,B7,B8,B9,B10,B11,B12,B13,B16,B15,B14)</f>
        <v>2040</v>
      </c>
      <c r="C3" s="12">
        <f>SUM(C4,C5,C6,C7,C8,C9,,C10,C11,C12,C13,C16,C15,C14)</f>
        <v>438</v>
      </c>
    </row>
    <row r="4" spans="1:5" s="5" customFormat="1" x14ac:dyDescent="0.3">
      <c r="A4" s="4" t="s">
        <v>2</v>
      </c>
      <c r="B4" s="5">
        <v>227</v>
      </c>
      <c r="C4" s="5">
        <v>57</v>
      </c>
    </row>
    <row r="5" spans="1:5" x14ac:dyDescent="0.3">
      <c r="A5" s="4" t="s">
        <v>3</v>
      </c>
      <c r="B5" s="30">
        <v>319</v>
      </c>
      <c r="C5" s="30">
        <v>60</v>
      </c>
    </row>
    <row r="6" spans="1:5" x14ac:dyDescent="0.3">
      <c r="A6" s="4" t="s">
        <v>4</v>
      </c>
      <c r="B6" s="19">
        <v>484</v>
      </c>
      <c r="C6" s="6">
        <v>147</v>
      </c>
    </row>
    <row r="7" spans="1:5" x14ac:dyDescent="0.3">
      <c r="A7" s="4" t="s">
        <v>5</v>
      </c>
      <c r="B7" s="18">
        <v>642</v>
      </c>
      <c r="C7" s="5">
        <v>103</v>
      </c>
    </row>
    <row r="8" spans="1:5" s="15" customFormat="1" x14ac:dyDescent="0.3">
      <c r="A8" s="14" t="s">
        <v>6</v>
      </c>
      <c r="B8" s="6">
        <v>0</v>
      </c>
      <c r="C8" s="6">
        <v>0</v>
      </c>
    </row>
    <row r="9" spans="1:5" x14ac:dyDescent="0.3">
      <c r="A9" s="4" t="s">
        <v>7</v>
      </c>
      <c r="B9" s="5">
        <v>0</v>
      </c>
      <c r="C9" s="5">
        <v>0</v>
      </c>
    </row>
    <row r="10" spans="1:5" x14ac:dyDescent="0.3">
      <c r="A10" s="4" t="s">
        <v>8</v>
      </c>
      <c r="B10" s="5">
        <v>288</v>
      </c>
      <c r="C10" s="5">
        <v>52</v>
      </c>
    </row>
    <row r="11" spans="1:5" x14ac:dyDescent="0.3">
      <c r="A11" s="4" t="s">
        <v>9</v>
      </c>
      <c r="B11" s="5">
        <v>0</v>
      </c>
      <c r="C11" s="5">
        <v>0</v>
      </c>
    </row>
    <row r="12" spans="1:5" x14ac:dyDescent="0.3">
      <c r="A12" s="4" t="s">
        <v>10</v>
      </c>
      <c r="B12" s="5">
        <v>80</v>
      </c>
      <c r="C12" s="5">
        <v>19</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dimension ref="A1:P24"/>
  <sheetViews>
    <sheetView zoomScale="103" zoomScaleNormal="130" workbookViewId="0">
      <selection activeCell="C12" sqref="C12"/>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135</v>
      </c>
      <c r="B1" s="44"/>
      <c r="C1" s="44"/>
      <c r="D1" s="44"/>
      <c r="E1" s="2"/>
    </row>
    <row r="2" spans="1:5" x14ac:dyDescent="0.3">
      <c r="B2" s="9" t="s">
        <v>1</v>
      </c>
      <c r="C2" s="10" t="s">
        <v>0</v>
      </c>
    </row>
    <row r="3" spans="1:5" ht="15" thickBot="1" x14ac:dyDescent="0.35">
      <c r="B3" s="20">
        <f>SUM(B4,B5,B6,B7,B8,B9,B10,B11,B12,B13,B16,B15,B14)</f>
        <v>2027</v>
      </c>
      <c r="C3" s="12">
        <f>SUM(C4,C5,C6,C7,C8,C9,,C10,C11,C12,C13,C16,C15,C14)</f>
        <v>431</v>
      </c>
    </row>
    <row r="4" spans="1:5" s="5" customFormat="1" x14ac:dyDescent="0.3">
      <c r="A4" s="4" t="s">
        <v>2</v>
      </c>
      <c r="B4" s="5">
        <v>217</v>
      </c>
      <c r="C4" s="5">
        <v>59</v>
      </c>
    </row>
    <row r="5" spans="1:5" x14ac:dyDescent="0.3">
      <c r="A5" s="4" t="s">
        <v>3</v>
      </c>
      <c r="B5" s="30">
        <v>284</v>
      </c>
      <c r="C5" s="30">
        <v>61</v>
      </c>
    </row>
    <row r="6" spans="1:5" x14ac:dyDescent="0.3">
      <c r="A6" s="4" t="s">
        <v>4</v>
      </c>
      <c r="B6" s="19">
        <v>526</v>
      </c>
      <c r="C6" s="6">
        <v>146</v>
      </c>
    </row>
    <row r="7" spans="1:5" x14ac:dyDescent="0.3">
      <c r="A7" s="4" t="s">
        <v>5</v>
      </c>
      <c r="B7" s="18">
        <v>651</v>
      </c>
      <c r="C7" s="5">
        <v>101</v>
      </c>
    </row>
    <row r="8" spans="1:5" s="15" customFormat="1" x14ac:dyDescent="0.3">
      <c r="A8" s="14" t="s">
        <v>6</v>
      </c>
      <c r="B8" s="6">
        <v>1</v>
      </c>
      <c r="C8" s="6">
        <v>0</v>
      </c>
    </row>
    <row r="9" spans="1:5" x14ac:dyDescent="0.3">
      <c r="A9" s="4" t="s">
        <v>7</v>
      </c>
      <c r="B9" s="5">
        <v>0</v>
      </c>
      <c r="C9" s="5">
        <v>0</v>
      </c>
    </row>
    <row r="10" spans="1:5" x14ac:dyDescent="0.3">
      <c r="A10" s="4" t="s">
        <v>8</v>
      </c>
      <c r="B10" s="5">
        <v>263</v>
      </c>
      <c r="C10" s="5">
        <v>43</v>
      </c>
    </row>
    <row r="11" spans="1:5" x14ac:dyDescent="0.3">
      <c r="A11" s="4" t="s">
        <v>9</v>
      </c>
      <c r="B11" s="5">
        <v>0</v>
      </c>
      <c r="C11" s="5">
        <v>0</v>
      </c>
    </row>
    <row r="12" spans="1:5" x14ac:dyDescent="0.3">
      <c r="A12" s="4" t="s">
        <v>10</v>
      </c>
      <c r="B12" s="5">
        <v>83</v>
      </c>
      <c r="C12" s="5">
        <v>21</v>
      </c>
    </row>
    <row r="13" spans="1:5" x14ac:dyDescent="0.3">
      <c r="A13" s="4" t="s">
        <v>11</v>
      </c>
      <c r="B13" s="5">
        <v>2</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dimension ref="A1:P24"/>
  <sheetViews>
    <sheetView zoomScale="103" zoomScaleNormal="130" workbookViewId="0">
      <selection activeCell="B4" sqref="B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134</v>
      </c>
      <c r="B1" s="44"/>
      <c r="C1" s="44"/>
      <c r="D1" s="44"/>
      <c r="E1" s="2"/>
    </row>
    <row r="2" spans="1:5" x14ac:dyDescent="0.3">
      <c r="B2" s="9" t="s">
        <v>1</v>
      </c>
      <c r="C2" s="10" t="s">
        <v>0</v>
      </c>
    </row>
    <row r="3" spans="1:5" ht="15" thickBot="1" x14ac:dyDescent="0.35">
      <c r="B3" s="20">
        <f>SUM(B4,B5,B6,B7,B8,B9,B10,B11,B12,B13,B16,B15,B14)</f>
        <v>1951</v>
      </c>
      <c r="C3" s="12">
        <f>SUM(C4,C5,C6,C7,C8,C9,,C10,C11,C12,C13,C16,C15,C14)</f>
        <v>444</v>
      </c>
    </row>
    <row r="4" spans="1:5" s="5" customFormat="1" x14ac:dyDescent="0.3">
      <c r="A4" s="4" t="s">
        <v>2</v>
      </c>
      <c r="B4" s="5">
        <v>198</v>
      </c>
      <c r="C4" s="5">
        <v>63</v>
      </c>
    </row>
    <row r="5" spans="1:5" x14ac:dyDescent="0.3">
      <c r="A5" s="4" t="s">
        <v>3</v>
      </c>
      <c r="B5" s="30">
        <v>268</v>
      </c>
      <c r="C5" s="30">
        <v>57</v>
      </c>
    </row>
    <row r="6" spans="1:5" x14ac:dyDescent="0.3">
      <c r="A6" s="4" t="s">
        <v>4</v>
      </c>
      <c r="B6" s="19">
        <v>535</v>
      </c>
      <c r="C6" s="6">
        <v>127</v>
      </c>
    </row>
    <row r="7" spans="1:5" x14ac:dyDescent="0.3">
      <c r="A7" s="4" t="s">
        <v>5</v>
      </c>
      <c r="B7" s="18">
        <v>638</v>
      </c>
      <c r="C7" s="5">
        <v>100</v>
      </c>
    </row>
    <row r="8" spans="1:5" s="15" customFormat="1" x14ac:dyDescent="0.3">
      <c r="A8" s="14" t="s">
        <v>6</v>
      </c>
      <c r="B8" s="6">
        <v>0</v>
      </c>
      <c r="C8" s="6">
        <v>0</v>
      </c>
    </row>
    <row r="9" spans="1:5" x14ac:dyDescent="0.3">
      <c r="A9" s="4" t="s">
        <v>7</v>
      </c>
      <c r="B9" s="5">
        <v>0</v>
      </c>
      <c r="C9" s="5">
        <v>0</v>
      </c>
    </row>
    <row r="10" spans="1:5" x14ac:dyDescent="0.3">
      <c r="A10" s="4" t="s">
        <v>8</v>
      </c>
      <c r="B10" s="5">
        <v>240</v>
      </c>
      <c r="C10" s="5">
        <v>41</v>
      </c>
    </row>
    <row r="11" spans="1:5" x14ac:dyDescent="0.3">
      <c r="A11" s="4" t="s">
        <v>9</v>
      </c>
      <c r="B11" s="5">
        <v>0</v>
      </c>
      <c r="C11" s="5">
        <v>0</v>
      </c>
    </row>
    <row r="12" spans="1:5" x14ac:dyDescent="0.3">
      <c r="A12" s="4" t="s">
        <v>10</v>
      </c>
      <c r="B12" s="5">
        <v>71</v>
      </c>
      <c r="C12" s="5">
        <v>56</v>
      </c>
    </row>
    <row r="13" spans="1:5" x14ac:dyDescent="0.3">
      <c r="A13" s="4" t="s">
        <v>11</v>
      </c>
      <c r="B13" s="5">
        <v>1</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dimension ref="A1:P24"/>
  <sheetViews>
    <sheetView zoomScale="103" zoomScaleNormal="130" workbookViewId="0">
      <selection activeCell="D10" sqref="D10"/>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133</v>
      </c>
      <c r="B1" s="44"/>
      <c r="C1" s="44"/>
      <c r="D1" s="44"/>
      <c r="E1" s="2"/>
    </row>
    <row r="2" spans="1:5" x14ac:dyDescent="0.3">
      <c r="B2" s="9" t="s">
        <v>1</v>
      </c>
      <c r="C2" s="10" t="s">
        <v>0</v>
      </c>
    </row>
    <row r="3" spans="1:5" ht="15" thickBot="1" x14ac:dyDescent="0.35">
      <c r="B3" s="20">
        <f>SUM(B4,B5,B6,B7,B8,B9,B10,B11,B12,B13,B16,B15,B14)</f>
        <v>1783</v>
      </c>
      <c r="C3" s="12">
        <f>SUM(C4,C5,C6,C7,C8,C9,,C10,C11,C12,C13,C16,C15,C14)</f>
        <v>374</v>
      </c>
    </row>
    <row r="4" spans="1:5" s="5" customFormat="1" x14ac:dyDescent="0.3">
      <c r="A4" s="4" t="s">
        <v>2</v>
      </c>
      <c r="B4" s="5">
        <v>167</v>
      </c>
      <c r="C4" s="5">
        <v>50</v>
      </c>
    </row>
    <row r="5" spans="1:5" x14ac:dyDescent="0.3">
      <c r="A5" s="4" t="s">
        <v>3</v>
      </c>
      <c r="B5" s="30">
        <v>240</v>
      </c>
      <c r="C5" s="30">
        <v>54</v>
      </c>
    </row>
    <row r="6" spans="1:5" x14ac:dyDescent="0.3">
      <c r="A6" s="4" t="s">
        <v>4</v>
      </c>
      <c r="B6" s="19">
        <v>500</v>
      </c>
      <c r="C6" s="6">
        <v>125</v>
      </c>
    </row>
    <row r="7" spans="1:5" x14ac:dyDescent="0.3">
      <c r="A7" s="4" t="s">
        <v>5</v>
      </c>
      <c r="B7" s="18">
        <v>591</v>
      </c>
      <c r="C7" s="5">
        <v>87</v>
      </c>
    </row>
    <row r="8" spans="1:5" s="15" customFormat="1" x14ac:dyDescent="0.3">
      <c r="A8" s="14" t="s">
        <v>6</v>
      </c>
      <c r="B8" s="6">
        <v>0</v>
      </c>
      <c r="C8" s="6">
        <v>0</v>
      </c>
    </row>
    <row r="9" spans="1:5" x14ac:dyDescent="0.3">
      <c r="A9" s="4" t="s">
        <v>7</v>
      </c>
      <c r="B9" s="5">
        <v>2</v>
      </c>
      <c r="C9" s="5">
        <v>1</v>
      </c>
    </row>
    <row r="10" spans="1:5" x14ac:dyDescent="0.3">
      <c r="A10" s="4" t="s">
        <v>8</v>
      </c>
      <c r="B10" s="5">
        <v>220</v>
      </c>
      <c r="C10" s="5">
        <v>41</v>
      </c>
    </row>
    <row r="11" spans="1:5" x14ac:dyDescent="0.3">
      <c r="A11" s="4" t="s">
        <v>9</v>
      </c>
      <c r="B11" s="5">
        <v>0</v>
      </c>
      <c r="C11" s="5">
        <v>0</v>
      </c>
    </row>
    <row r="12" spans="1:5" x14ac:dyDescent="0.3">
      <c r="A12" s="4" t="s">
        <v>10</v>
      </c>
      <c r="B12" s="5">
        <v>62</v>
      </c>
      <c r="C12" s="5">
        <v>16</v>
      </c>
    </row>
    <row r="13" spans="1:5" x14ac:dyDescent="0.3">
      <c r="A13" s="4" t="s">
        <v>11</v>
      </c>
      <c r="B13" s="5">
        <v>1</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dimension ref="A1:P24"/>
  <sheetViews>
    <sheetView zoomScale="103" zoomScaleNormal="130" workbookViewId="0">
      <selection activeCell="B13" sqref="B13"/>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132</v>
      </c>
      <c r="B1" s="44"/>
      <c r="C1" s="44"/>
      <c r="D1" s="44"/>
      <c r="E1" s="2"/>
    </row>
    <row r="2" spans="1:5" x14ac:dyDescent="0.3">
      <c r="B2" s="9" t="s">
        <v>1</v>
      </c>
      <c r="C2" s="10" t="s">
        <v>0</v>
      </c>
    </row>
    <row r="3" spans="1:5" ht="15" thickBot="1" x14ac:dyDescent="0.35">
      <c r="B3" s="20">
        <f>SUM(B4,B5,B6,B7,B8,B9,B10,B11,B12,B13,B16,B15,B14)</f>
        <v>1692</v>
      </c>
      <c r="C3" s="12">
        <f>SUM(C4,C5,C6,C7,C8,C9,,C10,C11,C12,C13,C16,C15,C14)</f>
        <v>334</v>
      </c>
    </row>
    <row r="4" spans="1:5" s="5" customFormat="1" x14ac:dyDescent="0.3">
      <c r="A4" s="4" t="s">
        <v>2</v>
      </c>
      <c r="B4" s="5">
        <v>155</v>
      </c>
      <c r="C4" s="5">
        <v>44</v>
      </c>
    </row>
    <row r="5" spans="1:5" x14ac:dyDescent="0.3">
      <c r="A5" s="4" t="s">
        <v>3</v>
      </c>
      <c r="B5" s="30">
        <v>225</v>
      </c>
      <c r="C5" s="30">
        <v>51</v>
      </c>
    </row>
    <row r="6" spans="1:5" x14ac:dyDescent="0.3">
      <c r="A6" s="4" t="s">
        <v>4</v>
      </c>
      <c r="B6" s="19">
        <v>452</v>
      </c>
      <c r="C6" s="6">
        <v>106</v>
      </c>
    </row>
    <row r="7" spans="1:5" x14ac:dyDescent="0.3">
      <c r="A7" s="4" t="s">
        <v>5</v>
      </c>
      <c r="B7" s="18">
        <v>583</v>
      </c>
      <c r="C7" s="5">
        <v>85</v>
      </c>
    </row>
    <row r="8" spans="1:5" s="15" customFormat="1" x14ac:dyDescent="0.3">
      <c r="A8" s="14" t="s">
        <v>6</v>
      </c>
      <c r="B8" s="6">
        <v>0</v>
      </c>
      <c r="C8" s="6">
        <v>0</v>
      </c>
    </row>
    <row r="9" spans="1:5" x14ac:dyDescent="0.3">
      <c r="A9" s="4" t="s">
        <v>7</v>
      </c>
      <c r="B9" s="5">
        <v>1</v>
      </c>
      <c r="C9" s="5">
        <v>1</v>
      </c>
    </row>
    <row r="10" spans="1:5" x14ac:dyDescent="0.3">
      <c r="A10" s="4" t="s">
        <v>8</v>
      </c>
      <c r="B10" s="5">
        <v>227</v>
      </c>
      <c r="C10" s="5">
        <v>34</v>
      </c>
    </row>
    <row r="11" spans="1:5" x14ac:dyDescent="0.3">
      <c r="A11" s="4" t="s">
        <v>9</v>
      </c>
      <c r="B11" s="5">
        <v>0</v>
      </c>
      <c r="C11" s="5">
        <v>0</v>
      </c>
    </row>
    <row r="12" spans="1:5" x14ac:dyDescent="0.3">
      <c r="A12" s="4" t="s">
        <v>10</v>
      </c>
      <c r="B12" s="5">
        <v>49</v>
      </c>
      <c r="C12" s="5">
        <v>13</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dimension ref="A1:P24"/>
  <sheetViews>
    <sheetView zoomScale="103" zoomScaleNormal="130" workbookViewId="0">
      <selection activeCell="D6" sqref="D6"/>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131</v>
      </c>
      <c r="B1" s="44"/>
      <c r="C1" s="44"/>
      <c r="D1" s="44"/>
      <c r="E1" s="2"/>
    </row>
    <row r="2" spans="1:5" x14ac:dyDescent="0.3">
      <c r="B2" s="9" t="s">
        <v>1</v>
      </c>
      <c r="C2" s="10" t="s">
        <v>0</v>
      </c>
    </row>
    <row r="3" spans="1:5" ht="15" thickBot="1" x14ac:dyDescent="0.35">
      <c r="B3" s="20">
        <f>SUM(B4,B5,B6,B7,B8,B9,B10,B11,B12,B13,B16,B15,B14)</f>
        <v>1558</v>
      </c>
      <c r="C3" s="12">
        <f>SUM(C4,C5,C6,C7,C8,C9,,C10,C11,C12,C13,C16,C15,C14)</f>
        <v>294</v>
      </c>
    </row>
    <row r="4" spans="1:5" s="5" customFormat="1" x14ac:dyDescent="0.3">
      <c r="A4" s="4" t="s">
        <v>2</v>
      </c>
      <c r="B4" s="5">
        <v>142</v>
      </c>
      <c r="C4" s="5">
        <v>46</v>
      </c>
    </row>
    <row r="5" spans="1:5" x14ac:dyDescent="0.3">
      <c r="A5" s="4" t="s">
        <v>3</v>
      </c>
      <c r="B5" s="30">
        <v>207</v>
      </c>
      <c r="C5" s="30">
        <v>43</v>
      </c>
    </row>
    <row r="6" spans="1:5" x14ac:dyDescent="0.3">
      <c r="A6" s="4" t="s">
        <v>4</v>
      </c>
      <c r="B6" s="19">
        <v>422</v>
      </c>
      <c r="C6" s="6">
        <v>82</v>
      </c>
    </row>
    <row r="7" spans="1:5" x14ac:dyDescent="0.3">
      <c r="A7" s="4" t="s">
        <v>5</v>
      </c>
      <c r="B7" s="18">
        <v>534</v>
      </c>
      <c r="C7" s="5">
        <v>82</v>
      </c>
    </row>
    <row r="8" spans="1:5" s="15" customFormat="1" x14ac:dyDescent="0.3">
      <c r="A8" s="14" t="s">
        <v>6</v>
      </c>
      <c r="B8" s="6">
        <v>0</v>
      </c>
      <c r="C8" s="6">
        <v>0</v>
      </c>
    </row>
    <row r="9" spans="1:5" x14ac:dyDescent="0.3">
      <c r="A9" s="4" t="s">
        <v>7</v>
      </c>
      <c r="B9" s="5">
        <v>2</v>
      </c>
      <c r="C9" s="5">
        <v>0</v>
      </c>
    </row>
    <row r="10" spans="1:5" x14ac:dyDescent="0.3">
      <c r="A10" s="4" t="s">
        <v>8</v>
      </c>
      <c r="B10" s="5">
        <v>207</v>
      </c>
      <c r="C10" s="5">
        <v>30</v>
      </c>
    </row>
    <row r="11" spans="1:5" x14ac:dyDescent="0.3">
      <c r="A11" s="4" t="s">
        <v>9</v>
      </c>
      <c r="B11" s="5">
        <v>0</v>
      </c>
      <c r="C11" s="5">
        <v>0</v>
      </c>
    </row>
    <row r="12" spans="1:5" x14ac:dyDescent="0.3">
      <c r="A12" s="4" t="s">
        <v>10</v>
      </c>
      <c r="B12" s="5">
        <v>44</v>
      </c>
      <c r="C12" s="5">
        <v>11</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dimension ref="A1:P24"/>
  <sheetViews>
    <sheetView zoomScale="103" zoomScaleNormal="130" workbookViewId="0">
      <selection activeCell="D19" sqref="D19"/>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130</v>
      </c>
      <c r="B1" s="44"/>
      <c r="C1" s="44"/>
      <c r="D1" s="44"/>
      <c r="E1" s="2"/>
    </row>
    <row r="2" spans="1:5" x14ac:dyDescent="0.3">
      <c r="B2" s="9" t="s">
        <v>1</v>
      </c>
      <c r="C2" s="10" t="s">
        <v>0</v>
      </c>
    </row>
    <row r="3" spans="1:5" ht="15" thickBot="1" x14ac:dyDescent="0.35">
      <c r="B3" s="20">
        <f>SUM(B4,B5,B6,B7,B8,B9,B10,B11,B12,B13,B16,B15,B14)</f>
        <v>1371</v>
      </c>
      <c r="C3" s="12">
        <f>SUM(C4,C5,C6,C7,C8,C9,,C10,C11,C12,C13,C16,C15,C14)</f>
        <v>253</v>
      </c>
    </row>
    <row r="4" spans="1:5" s="5" customFormat="1" x14ac:dyDescent="0.3">
      <c r="A4" s="4" t="s">
        <v>2</v>
      </c>
      <c r="B4" s="5">
        <v>104</v>
      </c>
      <c r="C4" s="5">
        <v>28</v>
      </c>
    </row>
    <row r="5" spans="1:5" x14ac:dyDescent="0.3">
      <c r="A5" s="4" t="s">
        <v>3</v>
      </c>
      <c r="B5" s="30">
        <v>164</v>
      </c>
      <c r="C5" s="30">
        <v>30</v>
      </c>
    </row>
    <row r="6" spans="1:5" x14ac:dyDescent="0.3">
      <c r="A6" s="4" t="s">
        <v>4</v>
      </c>
      <c r="B6" s="19">
        <v>367</v>
      </c>
      <c r="C6" s="6">
        <v>84</v>
      </c>
    </row>
    <row r="7" spans="1:5" x14ac:dyDescent="0.3">
      <c r="A7" s="4" t="s">
        <v>5</v>
      </c>
      <c r="B7" s="18">
        <v>540</v>
      </c>
      <c r="C7" s="5">
        <v>76</v>
      </c>
    </row>
    <row r="8" spans="1:5" s="15" customFormat="1" x14ac:dyDescent="0.3">
      <c r="A8" s="14" t="s">
        <v>6</v>
      </c>
      <c r="B8" s="6">
        <v>0</v>
      </c>
      <c r="C8" s="6">
        <v>0</v>
      </c>
    </row>
    <row r="9" spans="1:5" x14ac:dyDescent="0.3">
      <c r="A9" s="4" t="s">
        <v>7</v>
      </c>
      <c r="B9" s="5">
        <v>2</v>
      </c>
      <c r="C9" s="5">
        <v>0</v>
      </c>
    </row>
    <row r="10" spans="1:5" x14ac:dyDescent="0.3">
      <c r="A10" s="4" t="s">
        <v>8</v>
      </c>
      <c r="B10" s="5">
        <v>162</v>
      </c>
      <c r="C10" s="5">
        <v>28</v>
      </c>
    </row>
    <row r="11" spans="1:5" x14ac:dyDescent="0.3">
      <c r="A11" s="4" t="s">
        <v>9</v>
      </c>
      <c r="B11" s="5">
        <v>0</v>
      </c>
      <c r="C11" s="5">
        <v>0</v>
      </c>
    </row>
    <row r="12" spans="1:5" x14ac:dyDescent="0.3">
      <c r="A12" s="4" t="s">
        <v>10</v>
      </c>
      <c r="B12" s="5">
        <v>32</v>
      </c>
      <c r="C12" s="5">
        <v>7</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dimension ref="A1:P24"/>
  <sheetViews>
    <sheetView zoomScale="103" zoomScaleNormal="130" workbookViewId="0">
      <selection activeCell="D14" sqref="D1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129</v>
      </c>
      <c r="B1" s="44"/>
      <c r="C1" s="44"/>
      <c r="D1" s="44"/>
      <c r="E1" s="2"/>
    </row>
    <row r="2" spans="1:5" x14ac:dyDescent="0.3">
      <c r="B2" s="9" t="s">
        <v>1</v>
      </c>
      <c r="C2" s="10" t="s">
        <v>0</v>
      </c>
    </row>
    <row r="3" spans="1:5" ht="15" thickBot="1" x14ac:dyDescent="0.35">
      <c r="B3" s="20">
        <f>SUM(B4,B5,B6,B7,B8,B9,B10,B11,B12,B13,B16,B15,B14)</f>
        <v>1370</v>
      </c>
      <c r="C3" s="12">
        <f>SUM(C4,C5,C6,C7,C8,C9,,C10,C11,C12,C13,C16,C15,C14)</f>
        <v>238</v>
      </c>
    </row>
    <row r="4" spans="1:5" s="5" customFormat="1" x14ac:dyDescent="0.3">
      <c r="A4" s="4" t="s">
        <v>2</v>
      </c>
      <c r="B4" s="5">
        <v>97</v>
      </c>
      <c r="C4" s="5">
        <v>24</v>
      </c>
    </row>
    <row r="5" spans="1:5" x14ac:dyDescent="0.3">
      <c r="A5" s="4" t="s">
        <v>3</v>
      </c>
      <c r="B5" s="30">
        <v>164</v>
      </c>
      <c r="C5" s="30">
        <v>30</v>
      </c>
    </row>
    <row r="6" spans="1:5" x14ac:dyDescent="0.3">
      <c r="A6" s="4" t="s">
        <v>4</v>
      </c>
      <c r="B6" s="19">
        <v>380</v>
      </c>
      <c r="C6" s="6">
        <v>86</v>
      </c>
    </row>
    <row r="7" spans="1:5" x14ac:dyDescent="0.3">
      <c r="A7" s="4" t="s">
        <v>5</v>
      </c>
      <c r="B7" s="18">
        <v>539</v>
      </c>
      <c r="C7" s="5">
        <v>77</v>
      </c>
    </row>
    <row r="8" spans="1:5" s="15" customFormat="1" x14ac:dyDescent="0.3">
      <c r="A8" s="14" t="s">
        <v>6</v>
      </c>
      <c r="B8" s="6">
        <v>0</v>
      </c>
      <c r="C8" s="6">
        <v>0</v>
      </c>
    </row>
    <row r="9" spans="1:5" x14ac:dyDescent="0.3">
      <c r="A9" s="4" t="s">
        <v>7</v>
      </c>
      <c r="B9" s="5">
        <v>5</v>
      </c>
      <c r="C9" s="5">
        <v>0</v>
      </c>
    </row>
    <row r="10" spans="1:5" x14ac:dyDescent="0.3">
      <c r="A10" s="4" t="s">
        <v>8</v>
      </c>
      <c r="B10" s="5">
        <v>153</v>
      </c>
      <c r="C10" s="5">
        <v>16</v>
      </c>
    </row>
    <row r="11" spans="1:5" x14ac:dyDescent="0.3">
      <c r="A11" s="4" t="s">
        <v>9</v>
      </c>
      <c r="B11" s="5">
        <v>0</v>
      </c>
      <c r="C11" s="5">
        <v>0</v>
      </c>
    </row>
    <row r="12" spans="1:5" x14ac:dyDescent="0.3">
      <c r="A12" s="4" t="s">
        <v>10</v>
      </c>
      <c r="B12" s="5">
        <v>32</v>
      </c>
      <c r="C12" s="5">
        <v>5</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26"/>
  <sheetViews>
    <sheetView zoomScaleNormal="100" workbookViewId="0">
      <selection activeCell="A25" sqref="A25"/>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439</v>
      </c>
      <c r="B1" s="44"/>
      <c r="C1" s="44"/>
      <c r="D1" s="44"/>
      <c r="E1" s="2"/>
    </row>
    <row r="2" spans="1:5" x14ac:dyDescent="0.3">
      <c r="B2" s="9" t="s">
        <v>1</v>
      </c>
      <c r="C2" s="10" t="s">
        <v>0</v>
      </c>
    </row>
    <row r="3" spans="1:5" ht="15" thickBot="1" x14ac:dyDescent="0.35">
      <c r="B3" s="20">
        <f>SUM(B4,B5,B6,B7,B8,B9,B10,B11,B12,B13,B16,B15,B14)</f>
        <v>4930</v>
      </c>
      <c r="C3" s="12">
        <f>SUM(C4,C5,C6,C7,C8,C9,,C10,C11,C12,C13,C16,C15,C14)</f>
        <v>367</v>
      </c>
    </row>
    <row r="4" spans="1:5" s="5" customFormat="1" x14ac:dyDescent="0.3">
      <c r="A4" s="4" t="s">
        <v>2</v>
      </c>
      <c r="B4" s="5">
        <v>324</v>
      </c>
      <c r="C4" s="5">
        <v>38</v>
      </c>
    </row>
    <row r="5" spans="1:5" x14ac:dyDescent="0.3">
      <c r="A5" s="4" t="s">
        <v>3</v>
      </c>
      <c r="B5" s="30">
        <v>990</v>
      </c>
      <c r="C5" s="30">
        <v>44</v>
      </c>
      <c r="D5" s="5"/>
    </row>
    <row r="6" spans="1:5" x14ac:dyDescent="0.3">
      <c r="A6" s="4" t="s">
        <v>4</v>
      </c>
      <c r="B6" s="19">
        <v>1135</v>
      </c>
      <c r="C6" s="6">
        <v>166</v>
      </c>
      <c r="D6" s="5"/>
    </row>
    <row r="7" spans="1:5" x14ac:dyDescent="0.3">
      <c r="A7" s="4" t="s">
        <v>5</v>
      </c>
      <c r="B7" s="32">
        <v>1637</v>
      </c>
      <c r="C7" s="5">
        <v>62</v>
      </c>
      <c r="D7" s="5"/>
    </row>
    <row r="8" spans="1:5" s="15" customFormat="1" x14ac:dyDescent="0.3">
      <c r="A8" s="14" t="s">
        <v>6</v>
      </c>
      <c r="B8" s="6">
        <v>57</v>
      </c>
      <c r="C8" s="6">
        <v>9</v>
      </c>
      <c r="D8" s="5"/>
    </row>
    <row r="9" spans="1:5" x14ac:dyDescent="0.3">
      <c r="A9" s="4" t="s">
        <v>7</v>
      </c>
      <c r="B9" s="5">
        <v>178</v>
      </c>
      <c r="C9" s="5">
        <v>9</v>
      </c>
      <c r="D9" s="5"/>
    </row>
    <row r="10" spans="1:5" x14ac:dyDescent="0.3">
      <c r="A10" s="4" t="s">
        <v>8</v>
      </c>
      <c r="B10" s="5">
        <v>141</v>
      </c>
      <c r="C10" s="5">
        <v>11</v>
      </c>
      <c r="D10" s="5"/>
    </row>
    <row r="11" spans="1:5" x14ac:dyDescent="0.3">
      <c r="A11" s="4" t="s">
        <v>9</v>
      </c>
      <c r="B11" s="5">
        <v>30</v>
      </c>
      <c r="C11" s="5">
        <v>3</v>
      </c>
      <c r="D11" s="5"/>
    </row>
    <row r="12" spans="1:5" x14ac:dyDescent="0.3">
      <c r="A12" s="4" t="s">
        <v>10</v>
      </c>
      <c r="B12" s="5">
        <v>354</v>
      </c>
      <c r="C12" s="5">
        <v>20</v>
      </c>
      <c r="D12" s="5"/>
    </row>
    <row r="13" spans="1:5" x14ac:dyDescent="0.3">
      <c r="A13" s="4" t="s">
        <v>11</v>
      </c>
      <c r="B13" s="5">
        <v>41</v>
      </c>
      <c r="C13" s="5">
        <v>5</v>
      </c>
      <c r="D13" s="5"/>
    </row>
    <row r="14" spans="1:5" x14ac:dyDescent="0.3">
      <c r="A14" s="4" t="s">
        <v>12</v>
      </c>
      <c r="B14" s="8">
        <v>8</v>
      </c>
      <c r="C14" s="7">
        <v>0</v>
      </c>
      <c r="D14" s="5"/>
    </row>
    <row r="15" spans="1:5" x14ac:dyDescent="0.3">
      <c r="A15" s="4" t="s">
        <v>13</v>
      </c>
      <c r="B15" s="5">
        <v>2</v>
      </c>
      <c r="C15" s="5">
        <v>0</v>
      </c>
      <c r="D15" s="5" t="s">
        <v>231</v>
      </c>
    </row>
    <row r="16" spans="1:5" x14ac:dyDescent="0.3">
      <c r="A16" s="4" t="s">
        <v>14</v>
      </c>
      <c r="B16" s="5">
        <v>33</v>
      </c>
      <c r="C16" s="5">
        <v>0</v>
      </c>
      <c r="D16" s="5"/>
    </row>
    <row r="17" spans="1:9" x14ac:dyDescent="0.3">
      <c r="B17" s="3"/>
    </row>
    <row r="20" spans="1:9" x14ac:dyDescent="0.3">
      <c r="A20" s="1" t="s">
        <v>122</v>
      </c>
    </row>
    <row r="21" spans="1:9" s="3" customFormat="1" x14ac:dyDescent="0.3">
      <c r="A21" s="33" t="s">
        <v>441</v>
      </c>
      <c r="B21" s="8"/>
    </row>
    <row r="22" spans="1:9" s="3" customFormat="1" x14ac:dyDescent="0.3">
      <c r="A22" s="34" t="s">
        <v>442</v>
      </c>
      <c r="B22" s="8"/>
    </row>
    <row r="23" spans="1:9" s="3" customFormat="1" x14ac:dyDescent="0.3">
      <c r="A23" s="35" t="s">
        <v>443</v>
      </c>
      <c r="B23" s="8"/>
    </row>
    <row r="24" spans="1:9" s="3" customFormat="1" x14ac:dyDescent="0.3">
      <c r="A24" s="33" t="s">
        <v>444</v>
      </c>
      <c r="B24" s="8"/>
    </row>
    <row r="25" spans="1:9" s="3" customFormat="1" x14ac:dyDescent="0.3">
      <c r="A25" s="36" t="s">
        <v>445</v>
      </c>
      <c r="B25" s="8"/>
    </row>
    <row r="26" spans="1:9" s="3" customFormat="1" x14ac:dyDescent="0.3">
      <c r="A26" s="33" t="s">
        <v>440</v>
      </c>
      <c r="B26" s="8"/>
      <c r="I26" s="3" t="s">
        <v>414</v>
      </c>
    </row>
  </sheetData>
  <mergeCells count="1">
    <mergeCell ref="A1:D1"/>
  </mergeCells>
  <hyperlinks>
    <hyperlink ref="A21" r:id="rId1" display="*** NT's official website does not disclose the number of current hospitalizations, but according to the press, as of March 23th, there were 8 people in hospital with Covid-19." xr:uid="{00000000-0004-0000-0800-000000000000}"/>
    <hyperlink ref="A22" r:id="rId2" display="**** YT's official website is now informing the number of hospitalizations, which is 2 as of March 7th." xr:uid="{00000000-0004-0000-0800-000001000000}"/>
    <hyperlink ref="A23" r:id="rId3" display="***** NU's official website does not disclose the number of current hospitalizations, but according to the press as of March 9th, 33 people had been hospitalized since December 21st due to the Omicron wave. That number does not represent the total number " xr:uid="{00000000-0004-0000-0800-000002000000}"/>
    <hyperlink ref="A24" r:id="rId4" display="******NB's  information was extracted from a news article dated from April 5th." xr:uid="{00000000-0004-0000-0800-000003000000}"/>
    <hyperlink ref="A26" r:id="rId5" xr:uid="{00000000-0004-0000-0800-000004000000}"/>
    <hyperlink ref="A25" r:id="rId6" display="********MB's oficial website is no longer doing daily reporting. The information was extracted from a news article dated from April 7th. Note that these are the numbers of new hospitalizations and ICU admissions for the March 27th-April 2nd week. The numb" xr:uid="{00000000-0004-0000-0800-000005000000}"/>
  </hyperlinks>
  <pageMargins left="0.7" right="0.7" top="0.75" bottom="0.75" header="0.3" footer="0.3"/>
  <pageSetup orientation="portrait" r:id="rId7"/>
  <drawing r:id="rId8"/>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dimension ref="A1:P24"/>
  <sheetViews>
    <sheetView zoomScale="103" zoomScaleNormal="130" workbookViewId="0">
      <selection activeCell="D7" sqref="D7"/>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128</v>
      </c>
      <c r="B1" s="44"/>
      <c r="C1" s="44"/>
      <c r="D1" s="44"/>
      <c r="E1" s="2"/>
    </row>
    <row r="2" spans="1:5" x14ac:dyDescent="0.3">
      <c r="B2" s="9" t="s">
        <v>1</v>
      </c>
      <c r="C2" s="10" t="s">
        <v>0</v>
      </c>
    </row>
    <row r="3" spans="1:5" ht="15" thickBot="1" x14ac:dyDescent="0.35">
      <c r="B3" s="20">
        <f>SUM(B4,B5,B6,B7,B8,B9,B10,B11,B12,B13,B16,B15,B14)</f>
        <v>1346</v>
      </c>
      <c r="C3" s="12">
        <f>SUM(C4,C5,C6,C7,C8,C9,,C10,C11,C12,C13,C16,C15,C14)</f>
        <v>248</v>
      </c>
    </row>
    <row r="4" spans="1:5" s="5" customFormat="1" x14ac:dyDescent="0.3">
      <c r="A4" s="4" t="s">
        <v>2</v>
      </c>
      <c r="B4" s="5">
        <v>92</v>
      </c>
      <c r="C4" s="5">
        <v>25</v>
      </c>
    </row>
    <row r="5" spans="1:5" x14ac:dyDescent="0.3">
      <c r="A5" s="4" t="s">
        <v>3</v>
      </c>
      <c r="B5" s="30">
        <v>164</v>
      </c>
      <c r="C5" s="30">
        <v>30</v>
      </c>
    </row>
    <row r="6" spans="1:5" x14ac:dyDescent="0.3">
      <c r="A6" s="4" t="s">
        <v>4</v>
      </c>
      <c r="B6" s="19">
        <v>381</v>
      </c>
      <c r="C6" s="6">
        <v>86</v>
      </c>
    </row>
    <row r="7" spans="1:5" x14ac:dyDescent="0.3">
      <c r="A7" s="4" t="s">
        <v>5</v>
      </c>
      <c r="B7" s="18">
        <v>538</v>
      </c>
      <c r="C7" s="5">
        <v>82</v>
      </c>
    </row>
    <row r="8" spans="1:5" s="15" customFormat="1" x14ac:dyDescent="0.3">
      <c r="A8" s="14" t="s">
        <v>6</v>
      </c>
      <c r="B8" s="6">
        <v>0</v>
      </c>
      <c r="C8" s="6">
        <v>0</v>
      </c>
    </row>
    <row r="9" spans="1:5" x14ac:dyDescent="0.3">
      <c r="A9" s="4" t="s">
        <v>7</v>
      </c>
      <c r="B9" s="5">
        <v>5</v>
      </c>
      <c r="C9" s="5">
        <v>0</v>
      </c>
    </row>
    <row r="10" spans="1:5" x14ac:dyDescent="0.3">
      <c r="A10" s="4" t="s">
        <v>8</v>
      </c>
      <c r="B10" s="5">
        <v>140</v>
      </c>
      <c r="C10" s="5">
        <v>21</v>
      </c>
    </row>
    <row r="11" spans="1:5" x14ac:dyDescent="0.3">
      <c r="A11" s="4" t="s">
        <v>9</v>
      </c>
      <c r="B11" s="5">
        <v>0</v>
      </c>
      <c r="C11" s="5">
        <v>0</v>
      </c>
    </row>
    <row r="12" spans="1:5" x14ac:dyDescent="0.3">
      <c r="A12" s="4" t="s">
        <v>10</v>
      </c>
      <c r="B12" s="5">
        <v>26</v>
      </c>
      <c r="C12" s="5">
        <v>4</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dimension ref="A1:P24"/>
  <sheetViews>
    <sheetView zoomScale="103" zoomScaleNormal="130" workbookViewId="0">
      <selection sqref="A1:D1"/>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127</v>
      </c>
      <c r="B1" s="44"/>
      <c r="C1" s="44"/>
      <c r="D1" s="44"/>
      <c r="E1" s="2"/>
    </row>
    <row r="2" spans="1:5" x14ac:dyDescent="0.3">
      <c r="B2" s="9" t="s">
        <v>1</v>
      </c>
      <c r="C2" s="10" t="s">
        <v>0</v>
      </c>
    </row>
    <row r="3" spans="1:5" ht="15" thickBot="1" x14ac:dyDescent="0.35">
      <c r="B3" s="20">
        <f>SUM(B4,B5,B6,B7,B8,B9,B10,B11,B12,B13,B16,B15,B14)</f>
        <v>1208</v>
      </c>
      <c r="C3" s="12">
        <f>SUM(C4,C5,C6,C7,C8,C9,,C10,C11,C12,C13,C16,C15,C14)</f>
        <v>234</v>
      </c>
    </row>
    <row r="4" spans="1:5" s="5" customFormat="1" x14ac:dyDescent="0.3">
      <c r="A4" s="4" t="s">
        <v>2</v>
      </c>
      <c r="B4" s="5">
        <v>86</v>
      </c>
      <c r="C4" s="5">
        <v>24</v>
      </c>
    </row>
    <row r="5" spans="1:5" x14ac:dyDescent="0.3">
      <c r="A5" s="4" t="s">
        <v>3</v>
      </c>
      <c r="B5" s="30">
        <v>140</v>
      </c>
      <c r="C5" s="30">
        <v>25</v>
      </c>
    </row>
    <row r="6" spans="1:5" x14ac:dyDescent="0.3">
      <c r="A6" s="4" t="s">
        <v>4</v>
      </c>
      <c r="B6" s="19">
        <v>328</v>
      </c>
      <c r="C6" s="6">
        <v>75</v>
      </c>
    </row>
    <row r="7" spans="1:5" x14ac:dyDescent="0.3">
      <c r="A7" s="4" t="s">
        <v>5</v>
      </c>
      <c r="B7" s="18">
        <v>496</v>
      </c>
      <c r="C7" s="5">
        <v>84</v>
      </c>
    </row>
    <row r="8" spans="1:5" s="15" customFormat="1" x14ac:dyDescent="0.3">
      <c r="A8" s="14" t="s">
        <v>6</v>
      </c>
      <c r="B8" s="6">
        <v>0</v>
      </c>
      <c r="C8" s="6">
        <v>0</v>
      </c>
    </row>
    <row r="9" spans="1:5" x14ac:dyDescent="0.3">
      <c r="A9" s="4" t="s">
        <v>7</v>
      </c>
      <c r="B9" s="5">
        <v>5</v>
      </c>
      <c r="C9" s="5">
        <v>1</v>
      </c>
    </row>
    <row r="10" spans="1:5" x14ac:dyDescent="0.3">
      <c r="A10" s="4" t="s">
        <v>8</v>
      </c>
      <c r="B10" s="5">
        <v>120</v>
      </c>
      <c r="C10" s="5">
        <v>18</v>
      </c>
    </row>
    <row r="11" spans="1:5" x14ac:dyDescent="0.3">
      <c r="A11" s="4" t="s">
        <v>9</v>
      </c>
      <c r="B11" s="5">
        <v>0</v>
      </c>
      <c r="C11" s="5">
        <v>0</v>
      </c>
    </row>
    <row r="12" spans="1:5" x14ac:dyDescent="0.3">
      <c r="A12" s="4" t="s">
        <v>10</v>
      </c>
      <c r="B12" s="5">
        <v>33</v>
      </c>
      <c r="C12" s="5">
        <v>7</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dimension ref="A1:P24"/>
  <sheetViews>
    <sheetView zoomScale="103" zoomScaleNormal="130" workbookViewId="0">
      <selection activeCell="B13" sqref="B13"/>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126</v>
      </c>
      <c r="B1" s="44"/>
      <c r="C1" s="44"/>
      <c r="D1" s="44"/>
      <c r="E1" s="2"/>
    </row>
    <row r="2" spans="1:5" x14ac:dyDescent="0.3">
      <c r="B2" s="9" t="s">
        <v>1</v>
      </c>
      <c r="C2" s="10" t="s">
        <v>0</v>
      </c>
    </row>
    <row r="3" spans="1:5" ht="15" thickBot="1" x14ac:dyDescent="0.35">
      <c r="B3" s="20">
        <f>SUM(B4,B5,B6,B7,B8,B9,B10,B11,B12,B13,B16,B15,B14)</f>
        <v>1160</v>
      </c>
      <c r="C3" s="12">
        <f>SUM(C4,C5,C6,C7,C8,C9,,C10,C11,C12,C13,C16,C15,C14)</f>
        <v>218</v>
      </c>
    </row>
    <row r="4" spans="1:5" s="5" customFormat="1" x14ac:dyDescent="0.3">
      <c r="A4" s="4" t="s">
        <v>2</v>
      </c>
      <c r="B4" s="5">
        <v>86</v>
      </c>
      <c r="C4" s="5">
        <v>24</v>
      </c>
    </row>
    <row r="5" spans="1:5" x14ac:dyDescent="0.3">
      <c r="A5" s="4" t="s">
        <v>3</v>
      </c>
      <c r="B5" s="30">
        <v>130</v>
      </c>
      <c r="C5" s="30">
        <v>18</v>
      </c>
    </row>
    <row r="6" spans="1:5" x14ac:dyDescent="0.3">
      <c r="A6" s="4" t="s">
        <v>4</v>
      </c>
      <c r="B6" s="19">
        <v>314</v>
      </c>
      <c r="C6" s="6">
        <v>75</v>
      </c>
    </row>
    <row r="7" spans="1:5" x14ac:dyDescent="0.3">
      <c r="A7" s="4" t="s">
        <v>5</v>
      </c>
      <c r="B7" s="18">
        <v>509</v>
      </c>
      <c r="C7" s="5">
        <v>78</v>
      </c>
    </row>
    <row r="8" spans="1:5" s="15" customFormat="1" x14ac:dyDescent="0.3">
      <c r="A8" s="14" t="s">
        <v>6</v>
      </c>
      <c r="B8" s="6">
        <v>0</v>
      </c>
      <c r="C8" s="6">
        <v>0</v>
      </c>
    </row>
    <row r="9" spans="1:5" x14ac:dyDescent="0.3">
      <c r="A9" s="4" t="s">
        <v>7</v>
      </c>
      <c r="B9" s="5">
        <v>4</v>
      </c>
      <c r="C9" s="5">
        <v>0</v>
      </c>
    </row>
    <row r="10" spans="1:5" x14ac:dyDescent="0.3">
      <c r="A10" s="4" t="s">
        <v>8</v>
      </c>
      <c r="B10" s="5">
        <v>97</v>
      </c>
      <c r="C10" s="5">
        <v>17</v>
      </c>
    </row>
    <row r="11" spans="1:5" x14ac:dyDescent="0.3">
      <c r="A11" s="4" t="s">
        <v>9</v>
      </c>
      <c r="B11" s="5">
        <v>0</v>
      </c>
      <c r="C11" s="5">
        <v>0</v>
      </c>
    </row>
    <row r="12" spans="1:5" x14ac:dyDescent="0.3">
      <c r="A12" s="4" t="s">
        <v>10</v>
      </c>
      <c r="B12" s="5">
        <v>20</v>
      </c>
      <c r="C12" s="5">
        <v>6</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dimension ref="A1:P24"/>
  <sheetViews>
    <sheetView zoomScale="103" zoomScaleNormal="130" workbookViewId="0">
      <selection activeCell="D13" sqref="D13"/>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125</v>
      </c>
      <c r="B1" s="44"/>
      <c r="C1" s="44"/>
      <c r="D1" s="44"/>
      <c r="E1" s="2"/>
    </row>
    <row r="2" spans="1:5" x14ac:dyDescent="0.3">
      <c r="B2" s="9" t="s">
        <v>1</v>
      </c>
      <c r="C2" s="10" t="s">
        <v>0</v>
      </c>
    </row>
    <row r="3" spans="1:5" ht="15" thickBot="1" x14ac:dyDescent="0.35">
      <c r="B3" s="20">
        <f>SUM(B4,B5,B6,B7,B8,B9,B10,B11,B12,B13,B16,B15,B14)</f>
        <v>1162</v>
      </c>
      <c r="C3" s="12">
        <f>SUM(C4,C5,C6,C7,C8,C9,,C10,C11,C12,C13,C16,C15,C14)</f>
        <v>228</v>
      </c>
    </row>
    <row r="4" spans="1:5" s="5" customFormat="1" x14ac:dyDescent="0.3">
      <c r="A4" s="4" t="s">
        <v>2</v>
      </c>
      <c r="B4" s="5">
        <v>84</v>
      </c>
      <c r="C4" s="5">
        <v>27</v>
      </c>
    </row>
    <row r="5" spans="1:5" x14ac:dyDescent="0.3">
      <c r="A5" s="4" t="s">
        <v>3</v>
      </c>
      <c r="B5" s="30">
        <v>123</v>
      </c>
      <c r="C5" s="30">
        <v>16</v>
      </c>
    </row>
    <row r="6" spans="1:5" x14ac:dyDescent="0.3">
      <c r="A6" s="4" t="s">
        <v>4</v>
      </c>
      <c r="B6" s="19">
        <v>312</v>
      </c>
      <c r="C6" s="6">
        <v>71</v>
      </c>
    </row>
    <row r="7" spans="1:5" x14ac:dyDescent="0.3">
      <c r="A7" s="4" t="s">
        <v>5</v>
      </c>
      <c r="B7" s="18">
        <v>526</v>
      </c>
      <c r="C7" s="5">
        <v>89</v>
      </c>
    </row>
    <row r="8" spans="1:5" s="15" customFormat="1" x14ac:dyDescent="0.3">
      <c r="A8" s="14" t="s">
        <v>6</v>
      </c>
      <c r="B8" s="6">
        <v>0</v>
      </c>
      <c r="C8" s="6">
        <v>0</v>
      </c>
    </row>
    <row r="9" spans="1:5" x14ac:dyDescent="0.3">
      <c r="A9" s="4" t="s">
        <v>7</v>
      </c>
      <c r="B9" s="5">
        <v>4</v>
      </c>
      <c r="C9" s="5">
        <v>0</v>
      </c>
    </row>
    <row r="10" spans="1:5" x14ac:dyDescent="0.3">
      <c r="A10" s="4" t="s">
        <v>8</v>
      </c>
      <c r="B10" s="5">
        <v>89</v>
      </c>
      <c r="C10" s="5">
        <v>19</v>
      </c>
    </row>
    <row r="11" spans="1:5" x14ac:dyDescent="0.3">
      <c r="A11" s="4" t="s">
        <v>9</v>
      </c>
      <c r="B11" s="5">
        <v>0</v>
      </c>
      <c r="C11" s="5">
        <v>0</v>
      </c>
    </row>
    <row r="12" spans="1:5" x14ac:dyDescent="0.3">
      <c r="A12" s="4" t="s">
        <v>10</v>
      </c>
      <c r="B12" s="5">
        <v>24</v>
      </c>
      <c r="C12" s="5">
        <v>6</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dimension ref="A1:P24"/>
  <sheetViews>
    <sheetView zoomScale="103" zoomScaleNormal="130" workbookViewId="0">
      <selection activeCell="D12" sqref="D12"/>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124</v>
      </c>
      <c r="B1" s="44"/>
      <c r="C1" s="44"/>
      <c r="D1" s="44"/>
      <c r="E1" s="2"/>
    </row>
    <row r="2" spans="1:5" x14ac:dyDescent="0.3">
      <c r="B2" s="9" t="s">
        <v>1</v>
      </c>
      <c r="C2" s="10" t="s">
        <v>0</v>
      </c>
    </row>
    <row r="3" spans="1:5" ht="15" thickBot="1" x14ac:dyDescent="0.35">
      <c r="B3" s="20">
        <f>SUM(B4,B5,B6,B7,B8,B9,B10,B11,B12,B13,B16,B15,B14)</f>
        <v>1042</v>
      </c>
      <c r="C3" s="12">
        <f>SUM(C4,C5,C6,C7,C8,C9,,C10,C11,C12,C13,C16,C15,C14)</f>
        <v>232</v>
      </c>
    </row>
    <row r="4" spans="1:5" s="5" customFormat="1" x14ac:dyDescent="0.3">
      <c r="A4" s="4" t="s">
        <v>2</v>
      </c>
      <c r="B4" s="5">
        <v>75</v>
      </c>
      <c r="C4" s="5">
        <v>24</v>
      </c>
    </row>
    <row r="5" spans="1:5" x14ac:dyDescent="0.3">
      <c r="A5" s="4" t="s">
        <v>3</v>
      </c>
      <c r="B5" s="30">
        <v>112</v>
      </c>
      <c r="C5" s="30">
        <v>14</v>
      </c>
    </row>
    <row r="6" spans="1:5" x14ac:dyDescent="0.3">
      <c r="A6" s="4" t="s">
        <v>4</v>
      </c>
      <c r="B6" s="19">
        <v>295</v>
      </c>
      <c r="C6" s="6">
        <v>78</v>
      </c>
    </row>
    <row r="7" spans="1:5" x14ac:dyDescent="0.3">
      <c r="A7" s="4" t="s">
        <v>5</v>
      </c>
      <c r="B7" s="18">
        <v>454</v>
      </c>
      <c r="C7" s="5">
        <v>97</v>
      </c>
    </row>
    <row r="8" spans="1:5" s="15" customFormat="1" x14ac:dyDescent="0.3">
      <c r="A8" s="14" t="s">
        <v>6</v>
      </c>
      <c r="B8" s="6">
        <v>0</v>
      </c>
      <c r="C8" s="6">
        <v>0</v>
      </c>
    </row>
    <row r="9" spans="1:5" x14ac:dyDescent="0.3">
      <c r="A9" s="4" t="s">
        <v>7</v>
      </c>
      <c r="B9" s="5">
        <v>4</v>
      </c>
      <c r="C9" s="5">
        <v>0</v>
      </c>
    </row>
    <row r="10" spans="1:5" x14ac:dyDescent="0.3">
      <c r="A10" s="4" t="s">
        <v>8</v>
      </c>
      <c r="B10" s="5">
        <v>77</v>
      </c>
      <c r="C10" s="5">
        <v>15</v>
      </c>
    </row>
    <row r="11" spans="1:5" x14ac:dyDescent="0.3">
      <c r="A11" s="4" t="s">
        <v>9</v>
      </c>
      <c r="B11" s="5">
        <v>0</v>
      </c>
      <c r="C11" s="5">
        <v>0</v>
      </c>
    </row>
    <row r="12" spans="1:5" x14ac:dyDescent="0.3">
      <c r="A12" s="4" t="s">
        <v>10</v>
      </c>
      <c r="B12" s="5">
        <v>25</v>
      </c>
      <c r="C12" s="5">
        <v>4</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dimension ref="A1:P24"/>
  <sheetViews>
    <sheetView zoomScale="103" zoomScaleNormal="130" workbookViewId="0">
      <selection activeCell="D18" sqref="D18"/>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123</v>
      </c>
      <c r="B1" s="44"/>
      <c r="C1" s="44"/>
      <c r="D1" s="44"/>
      <c r="E1" s="2"/>
    </row>
    <row r="2" spans="1:5" x14ac:dyDescent="0.3">
      <c r="B2" s="9" t="s">
        <v>1</v>
      </c>
      <c r="C2" s="10" t="s">
        <v>0</v>
      </c>
    </row>
    <row r="3" spans="1:5" ht="15" thickBot="1" x14ac:dyDescent="0.35">
      <c r="B3" s="20">
        <f>SUM(B4,B5,B6,B7,B8,B9,B10,B11,B12,B13,B16,B15,B14)</f>
        <v>973</v>
      </c>
      <c r="C3" s="12">
        <f>SUM(C4,C5,C6,C7,C8,C9,,C10,C11,C12,C13,C16,C15,C14)</f>
        <v>229</v>
      </c>
    </row>
    <row r="4" spans="1:5" s="5" customFormat="1" x14ac:dyDescent="0.3">
      <c r="A4" s="4" t="s">
        <v>2</v>
      </c>
      <c r="B4" s="5">
        <v>71</v>
      </c>
      <c r="C4" s="5">
        <v>24</v>
      </c>
    </row>
    <row r="5" spans="1:5" x14ac:dyDescent="0.3">
      <c r="A5" s="4" t="s">
        <v>3</v>
      </c>
      <c r="B5" s="30">
        <v>112</v>
      </c>
      <c r="C5" s="30">
        <v>18</v>
      </c>
    </row>
    <row r="6" spans="1:5" x14ac:dyDescent="0.3">
      <c r="A6" s="4" t="s">
        <v>4</v>
      </c>
      <c r="B6" s="19">
        <v>270</v>
      </c>
      <c r="C6" s="6">
        <v>74</v>
      </c>
    </row>
    <row r="7" spans="1:5" x14ac:dyDescent="0.3">
      <c r="A7" s="4" t="s">
        <v>5</v>
      </c>
      <c r="B7" s="18">
        <v>452</v>
      </c>
      <c r="C7" s="5">
        <v>101</v>
      </c>
    </row>
    <row r="8" spans="1:5" s="15" customFormat="1" x14ac:dyDescent="0.3">
      <c r="A8" s="14" t="s">
        <v>6</v>
      </c>
      <c r="B8" s="6">
        <v>0</v>
      </c>
      <c r="C8" s="6">
        <v>0</v>
      </c>
    </row>
    <row r="9" spans="1:5" x14ac:dyDescent="0.3">
      <c r="A9" s="4" t="s">
        <v>7</v>
      </c>
      <c r="B9" s="5">
        <v>5</v>
      </c>
      <c r="C9" s="5">
        <v>1</v>
      </c>
    </row>
    <row r="10" spans="1:5" x14ac:dyDescent="0.3">
      <c r="A10" s="4" t="s">
        <v>8</v>
      </c>
      <c r="B10" s="5">
        <v>42</v>
      </c>
      <c r="C10" s="5">
        <v>8</v>
      </c>
    </row>
    <row r="11" spans="1:5" x14ac:dyDescent="0.3">
      <c r="A11" s="4" t="s">
        <v>9</v>
      </c>
      <c r="B11" s="5">
        <v>0</v>
      </c>
      <c r="C11" s="5">
        <v>0</v>
      </c>
    </row>
    <row r="12" spans="1:5" x14ac:dyDescent="0.3">
      <c r="A12" s="4" t="s">
        <v>10</v>
      </c>
      <c r="B12" s="5">
        <v>21</v>
      </c>
      <c r="C12" s="5">
        <v>3</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dimension ref="A1:P24"/>
  <sheetViews>
    <sheetView zoomScale="103" zoomScaleNormal="130" workbookViewId="0">
      <selection activeCell="D17" sqref="D17"/>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121</v>
      </c>
      <c r="B1" s="44"/>
      <c r="C1" s="44"/>
      <c r="D1" s="44"/>
      <c r="E1" s="2"/>
    </row>
    <row r="2" spans="1:5" x14ac:dyDescent="0.3">
      <c r="B2" s="9" t="s">
        <v>1</v>
      </c>
      <c r="C2" s="10" t="s">
        <v>0</v>
      </c>
    </row>
    <row r="3" spans="1:5" ht="15" thickBot="1" x14ac:dyDescent="0.35">
      <c r="B3" s="20">
        <f>SUM(B4,B5,B6,B7,B8,B9,B10,B11,B12,B13,B16,B15,B14)</f>
        <v>977</v>
      </c>
      <c r="C3" s="12">
        <f>SUM(C4,C5,C6,C7,C8,C9,,C10,C11,C12,C13,C16,C15,C14)</f>
        <v>215</v>
      </c>
    </row>
    <row r="4" spans="1:5" s="5" customFormat="1" x14ac:dyDescent="0.3">
      <c r="A4" s="4" t="s">
        <v>2</v>
      </c>
      <c r="B4" s="5">
        <v>69</v>
      </c>
      <c r="C4" s="5">
        <v>18</v>
      </c>
    </row>
    <row r="5" spans="1:5" x14ac:dyDescent="0.3">
      <c r="A5" s="4" t="s">
        <v>3</v>
      </c>
      <c r="B5" s="30">
        <v>116</v>
      </c>
      <c r="C5" s="30">
        <v>16</v>
      </c>
    </row>
    <row r="6" spans="1:5" x14ac:dyDescent="0.3">
      <c r="A6" s="4" t="s">
        <v>4</v>
      </c>
      <c r="B6" s="19">
        <v>274</v>
      </c>
      <c r="C6" s="6">
        <v>72</v>
      </c>
    </row>
    <row r="7" spans="1:5" x14ac:dyDescent="0.3">
      <c r="A7" s="4" t="s">
        <v>5</v>
      </c>
      <c r="B7" s="18">
        <v>465</v>
      </c>
      <c r="C7" s="5">
        <v>100</v>
      </c>
    </row>
    <row r="8" spans="1:5" s="15" customFormat="1" x14ac:dyDescent="0.3">
      <c r="A8" s="14" t="s">
        <v>6</v>
      </c>
      <c r="B8" s="6">
        <v>0</v>
      </c>
      <c r="C8" s="6">
        <v>0</v>
      </c>
    </row>
    <row r="9" spans="1:5" x14ac:dyDescent="0.3">
      <c r="A9" s="4" t="s">
        <v>7</v>
      </c>
      <c r="B9" s="5">
        <v>3</v>
      </c>
      <c r="C9" s="5">
        <v>1</v>
      </c>
    </row>
    <row r="10" spans="1:5" x14ac:dyDescent="0.3">
      <c r="A10" s="4" t="s">
        <v>8</v>
      </c>
      <c r="B10" s="5">
        <v>32</v>
      </c>
      <c r="C10" s="5">
        <v>6</v>
      </c>
    </row>
    <row r="11" spans="1:5" x14ac:dyDescent="0.3">
      <c r="A11" s="4" t="s">
        <v>9</v>
      </c>
      <c r="B11" s="5">
        <v>0</v>
      </c>
      <c r="C11" s="5">
        <v>0</v>
      </c>
    </row>
    <row r="12" spans="1:5" x14ac:dyDescent="0.3">
      <c r="A12" s="4" t="s">
        <v>10</v>
      </c>
      <c r="B12" s="5">
        <v>18</v>
      </c>
      <c r="C12" s="5">
        <v>2</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dimension ref="A1:P24"/>
  <sheetViews>
    <sheetView zoomScale="103" zoomScaleNormal="130" workbookViewId="0">
      <selection activeCell="F19" sqref="F19"/>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120</v>
      </c>
      <c r="B1" s="44"/>
      <c r="C1" s="44"/>
      <c r="D1" s="44"/>
      <c r="E1" s="2"/>
    </row>
    <row r="2" spans="1:5" x14ac:dyDescent="0.3">
      <c r="B2" s="9" t="s">
        <v>1</v>
      </c>
      <c r="C2" s="10" t="s">
        <v>0</v>
      </c>
    </row>
    <row r="3" spans="1:5" ht="15" thickBot="1" x14ac:dyDescent="0.35">
      <c r="B3" s="20">
        <f>SUM(B4,B5,B6,B7,B8,B9,B10,B11,B12,B13,B16,B15,B14)</f>
        <v>919</v>
      </c>
      <c r="C3" s="12">
        <f>SUM(C4,C5,C6,C7,C8,C9,,C10,C11,C12,C13,C16,C15,C14)</f>
        <v>205</v>
      </c>
    </row>
    <row r="4" spans="1:5" s="5" customFormat="1" x14ac:dyDescent="0.3">
      <c r="A4" s="4" t="s">
        <v>2</v>
      </c>
      <c r="B4" s="5">
        <v>72</v>
      </c>
      <c r="C4" s="5">
        <v>26</v>
      </c>
    </row>
    <row r="5" spans="1:5" x14ac:dyDescent="0.3">
      <c r="A5" s="4" t="s">
        <v>3</v>
      </c>
      <c r="B5" s="30">
        <v>117</v>
      </c>
      <c r="C5" s="30">
        <v>11</v>
      </c>
    </row>
    <row r="6" spans="1:5" x14ac:dyDescent="0.3">
      <c r="A6" s="4" t="s">
        <v>4</v>
      </c>
      <c r="B6" s="19">
        <v>247</v>
      </c>
      <c r="C6" s="6">
        <v>71</v>
      </c>
    </row>
    <row r="7" spans="1:5" x14ac:dyDescent="0.3">
      <c r="A7" s="4" t="s">
        <v>5</v>
      </c>
      <c r="B7" s="18">
        <v>439</v>
      </c>
      <c r="C7" s="5">
        <v>88</v>
      </c>
    </row>
    <row r="8" spans="1:5" s="15" customFormat="1" x14ac:dyDescent="0.3">
      <c r="A8" s="14" t="s">
        <v>6</v>
      </c>
      <c r="B8" s="6">
        <v>0</v>
      </c>
      <c r="C8" s="6">
        <v>0</v>
      </c>
    </row>
    <row r="9" spans="1:5" x14ac:dyDescent="0.3">
      <c r="A9" s="4" t="s">
        <v>7</v>
      </c>
      <c r="B9" s="5">
        <v>3</v>
      </c>
      <c r="C9" s="5">
        <v>1</v>
      </c>
    </row>
    <row r="10" spans="1:5" x14ac:dyDescent="0.3">
      <c r="A10" s="4" t="s">
        <v>8</v>
      </c>
      <c r="B10" s="5">
        <v>29</v>
      </c>
      <c r="C10" s="5">
        <v>6</v>
      </c>
    </row>
    <row r="11" spans="1:5" x14ac:dyDescent="0.3">
      <c r="A11" s="4" t="s">
        <v>9</v>
      </c>
      <c r="B11" s="5">
        <v>0</v>
      </c>
      <c r="C11" s="5">
        <v>0</v>
      </c>
    </row>
    <row r="12" spans="1:5" x14ac:dyDescent="0.3">
      <c r="A12" s="4" t="s">
        <v>10</v>
      </c>
      <c r="B12" s="5">
        <v>12</v>
      </c>
      <c r="C12" s="5">
        <v>2</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dimension ref="A1:P24"/>
  <sheetViews>
    <sheetView zoomScale="103" zoomScaleNormal="130" workbookViewId="0">
      <selection activeCell="D15" sqref="D15"/>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119</v>
      </c>
      <c r="B1" s="44"/>
      <c r="C1" s="44"/>
      <c r="D1" s="44"/>
      <c r="E1" s="2"/>
    </row>
    <row r="2" spans="1:5" x14ac:dyDescent="0.3">
      <c r="B2" s="9" t="s">
        <v>1</v>
      </c>
      <c r="C2" s="10" t="s">
        <v>0</v>
      </c>
    </row>
    <row r="3" spans="1:5" ht="15" thickBot="1" x14ac:dyDescent="0.35">
      <c r="B3" s="20">
        <f>SUM(B4,B5,B6,B7,B8,B9,B10,B11,B12,B13,B16,B15,B14)</f>
        <v>861</v>
      </c>
      <c r="C3" s="12">
        <f>SUM(C4,C5,C6,C7,C8,C9,,C10,C11,C12,C13,C16,C15,C14)</f>
        <v>188</v>
      </c>
    </row>
    <row r="4" spans="1:5" s="5" customFormat="1" x14ac:dyDescent="0.3">
      <c r="A4" s="4" t="s">
        <v>2</v>
      </c>
      <c r="B4" s="5">
        <v>84</v>
      </c>
      <c r="C4" s="5">
        <v>24</v>
      </c>
    </row>
    <row r="5" spans="1:5" x14ac:dyDescent="0.3">
      <c r="A5" s="4" t="s">
        <v>3</v>
      </c>
      <c r="B5" s="30">
        <v>100</v>
      </c>
      <c r="C5" s="30">
        <v>14</v>
      </c>
    </row>
    <row r="6" spans="1:5" x14ac:dyDescent="0.3">
      <c r="A6" s="4" t="s">
        <v>4</v>
      </c>
      <c r="B6" s="19">
        <v>231</v>
      </c>
      <c r="C6" s="6">
        <v>64</v>
      </c>
    </row>
    <row r="7" spans="1:5" x14ac:dyDescent="0.3">
      <c r="A7" s="4" t="s">
        <v>5</v>
      </c>
      <c r="B7" s="18">
        <v>408</v>
      </c>
      <c r="C7" s="5">
        <v>80</v>
      </c>
    </row>
    <row r="8" spans="1:5" s="15" customFormat="1" x14ac:dyDescent="0.3">
      <c r="A8" s="14" t="s">
        <v>6</v>
      </c>
      <c r="B8" s="6">
        <v>0</v>
      </c>
      <c r="C8" s="6">
        <v>1</v>
      </c>
    </row>
    <row r="9" spans="1:5" x14ac:dyDescent="0.3">
      <c r="A9" s="4" t="s">
        <v>7</v>
      </c>
      <c r="B9" s="5">
        <v>5</v>
      </c>
      <c r="C9" s="5">
        <v>1</v>
      </c>
    </row>
    <row r="10" spans="1:5" x14ac:dyDescent="0.3">
      <c r="A10" s="4" t="s">
        <v>8</v>
      </c>
      <c r="B10" s="5">
        <v>27</v>
      </c>
      <c r="C10" s="5">
        <v>3</v>
      </c>
    </row>
    <row r="11" spans="1:5" x14ac:dyDescent="0.3">
      <c r="A11" s="4" t="s">
        <v>9</v>
      </c>
      <c r="B11" s="5">
        <v>0</v>
      </c>
      <c r="C11" s="5">
        <v>0</v>
      </c>
    </row>
    <row r="12" spans="1:5" x14ac:dyDescent="0.3">
      <c r="A12" s="4" t="s">
        <v>10</v>
      </c>
      <c r="B12" s="5">
        <v>6</v>
      </c>
      <c r="C12" s="5">
        <v>1</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dimension ref="A1:P24"/>
  <sheetViews>
    <sheetView zoomScale="103" zoomScaleNormal="130" workbookViewId="0">
      <selection activeCell="C20" sqref="C20"/>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118</v>
      </c>
      <c r="B1" s="44"/>
      <c r="C1" s="44"/>
      <c r="D1" s="44"/>
      <c r="E1" s="2"/>
    </row>
    <row r="2" spans="1:5" x14ac:dyDescent="0.3">
      <c r="B2" s="9" t="s">
        <v>1</v>
      </c>
      <c r="C2" s="10" t="s">
        <v>0</v>
      </c>
    </row>
    <row r="3" spans="1:5" ht="15" thickBot="1" x14ac:dyDescent="0.35">
      <c r="B3" s="20">
        <f>SUM(B4,B5,B6,B7,B8,B9,B10,B11,B12,B13,B16,B15,B14)</f>
        <v>803</v>
      </c>
      <c r="C3" s="12">
        <f>SUM(C4,C5,C6,C7,C8,C9,,C10,C11,C12,C13,C16,C15,C14)</f>
        <v>172</v>
      </c>
    </row>
    <row r="4" spans="1:5" s="5" customFormat="1" x14ac:dyDescent="0.3">
      <c r="A4" s="4" t="s">
        <v>2</v>
      </c>
      <c r="B4" s="5">
        <v>68</v>
      </c>
      <c r="C4" s="5">
        <v>19</v>
      </c>
    </row>
    <row r="5" spans="1:5" x14ac:dyDescent="0.3">
      <c r="A5" s="4" t="s">
        <v>3</v>
      </c>
      <c r="B5" s="30">
        <v>86</v>
      </c>
      <c r="C5" s="30">
        <v>11</v>
      </c>
    </row>
    <row r="6" spans="1:5" x14ac:dyDescent="0.3">
      <c r="A6" s="4" t="s">
        <v>4</v>
      </c>
      <c r="B6" s="19">
        <v>230</v>
      </c>
      <c r="C6" s="6">
        <v>60</v>
      </c>
    </row>
    <row r="7" spans="1:5" x14ac:dyDescent="0.3">
      <c r="A7" s="4" t="s">
        <v>5</v>
      </c>
      <c r="B7" s="18">
        <v>382</v>
      </c>
      <c r="C7" s="5">
        <v>75</v>
      </c>
    </row>
    <row r="8" spans="1:5" s="15" customFormat="1" x14ac:dyDescent="0.3">
      <c r="A8" s="14" t="s">
        <v>6</v>
      </c>
      <c r="B8" s="6">
        <v>0</v>
      </c>
      <c r="C8" s="6">
        <v>1</v>
      </c>
    </row>
    <row r="9" spans="1:5" x14ac:dyDescent="0.3">
      <c r="A9" s="4" t="s">
        <v>7</v>
      </c>
      <c r="B9" s="5">
        <v>5</v>
      </c>
      <c r="C9" s="5">
        <v>1</v>
      </c>
    </row>
    <row r="10" spans="1:5" x14ac:dyDescent="0.3">
      <c r="A10" s="4" t="s">
        <v>8</v>
      </c>
      <c r="B10" s="5">
        <v>25</v>
      </c>
      <c r="C10" s="5">
        <v>4</v>
      </c>
    </row>
    <row r="11" spans="1:5" x14ac:dyDescent="0.3">
      <c r="A11" s="4" t="s">
        <v>9</v>
      </c>
      <c r="B11" s="5">
        <v>0</v>
      </c>
      <c r="C11" s="5">
        <v>0</v>
      </c>
    </row>
    <row r="12" spans="1:5" x14ac:dyDescent="0.3">
      <c r="A12" s="4" t="s">
        <v>10</v>
      </c>
      <c r="B12" s="5">
        <v>7</v>
      </c>
      <c r="C12" s="5">
        <v>1</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27"/>
  <sheetViews>
    <sheetView zoomScaleNormal="100" workbookViewId="0">
      <selection activeCell="A26" sqref="A26"/>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435</v>
      </c>
      <c r="B1" s="44"/>
      <c r="C1" s="44"/>
      <c r="D1" s="44"/>
      <c r="E1" s="2"/>
    </row>
    <row r="2" spans="1:5" x14ac:dyDescent="0.3">
      <c r="B2" s="9" t="s">
        <v>1</v>
      </c>
      <c r="C2" s="10" t="s">
        <v>0</v>
      </c>
    </row>
    <row r="3" spans="1:5" ht="15" thickBot="1" x14ac:dyDescent="0.35">
      <c r="B3" s="20">
        <f>SUM(B4,B5,B6,B7,B8,B9,B10,B11,B12,B13,B16,B15,B14)</f>
        <v>4722</v>
      </c>
      <c r="C3" s="12">
        <f>SUM(C4,C5,C6,C7,C8,C9,,C10,C11,C12,C13,C16,C15,C14)</f>
        <v>382</v>
      </c>
    </row>
    <row r="4" spans="1:5" s="5" customFormat="1" x14ac:dyDescent="0.3">
      <c r="A4" s="4" t="s">
        <v>2</v>
      </c>
      <c r="B4" s="5">
        <v>334</v>
      </c>
      <c r="C4" s="5">
        <v>35</v>
      </c>
    </row>
    <row r="5" spans="1:5" x14ac:dyDescent="0.3">
      <c r="A5" s="4" t="s">
        <v>3</v>
      </c>
      <c r="B5" s="30">
        <v>990</v>
      </c>
      <c r="C5" s="30">
        <v>44</v>
      </c>
      <c r="D5" s="5"/>
    </row>
    <row r="6" spans="1:5" x14ac:dyDescent="0.3">
      <c r="A6" s="4" t="s">
        <v>4</v>
      </c>
      <c r="B6" s="19">
        <v>1074</v>
      </c>
      <c r="C6" s="6">
        <v>168</v>
      </c>
      <c r="D6" s="5"/>
    </row>
    <row r="7" spans="1:5" x14ac:dyDescent="0.3">
      <c r="A7" s="4" t="s">
        <v>5</v>
      </c>
      <c r="B7" s="32">
        <v>1540</v>
      </c>
      <c r="C7" s="5">
        <v>66</v>
      </c>
      <c r="D7" s="5"/>
    </row>
    <row r="8" spans="1:5" s="15" customFormat="1" x14ac:dyDescent="0.3">
      <c r="A8" s="14" t="s">
        <v>6</v>
      </c>
      <c r="B8" s="6">
        <v>51</v>
      </c>
      <c r="C8" s="6">
        <v>11</v>
      </c>
      <c r="D8" s="5"/>
    </row>
    <row r="9" spans="1:5" x14ac:dyDescent="0.3">
      <c r="A9" s="4" t="s">
        <v>7</v>
      </c>
      <c r="B9" s="5">
        <v>178</v>
      </c>
      <c r="C9" s="5">
        <v>9</v>
      </c>
      <c r="D9" s="5"/>
    </row>
    <row r="10" spans="1:5" x14ac:dyDescent="0.3">
      <c r="A10" s="4" t="s">
        <v>8</v>
      </c>
      <c r="B10" s="5">
        <v>111</v>
      </c>
      <c r="C10" s="5">
        <v>16</v>
      </c>
      <c r="D10" s="5"/>
    </row>
    <row r="11" spans="1:5" x14ac:dyDescent="0.3">
      <c r="A11" s="4" t="s">
        <v>9</v>
      </c>
      <c r="B11" s="5">
        <v>30</v>
      </c>
      <c r="C11" s="5">
        <v>3</v>
      </c>
      <c r="D11" s="5"/>
    </row>
    <row r="12" spans="1:5" x14ac:dyDescent="0.3">
      <c r="A12" s="4" t="s">
        <v>10</v>
      </c>
      <c r="B12" s="5">
        <v>324</v>
      </c>
      <c r="C12" s="5">
        <v>21</v>
      </c>
      <c r="D12" s="5"/>
    </row>
    <row r="13" spans="1:5" x14ac:dyDescent="0.3">
      <c r="A13" s="4" t="s">
        <v>11</v>
      </c>
      <c r="B13" s="5">
        <v>47</v>
      </c>
      <c r="C13" s="5">
        <v>9</v>
      </c>
      <c r="D13" s="5"/>
    </row>
    <row r="14" spans="1:5" x14ac:dyDescent="0.3">
      <c r="A14" s="4" t="s">
        <v>12</v>
      </c>
      <c r="B14" s="8">
        <v>8</v>
      </c>
      <c r="C14" s="7">
        <v>0</v>
      </c>
      <c r="D14" s="5"/>
    </row>
    <row r="15" spans="1:5" x14ac:dyDescent="0.3">
      <c r="A15" s="4" t="s">
        <v>13</v>
      </c>
      <c r="B15" s="5">
        <v>2</v>
      </c>
      <c r="C15" s="5">
        <v>0</v>
      </c>
      <c r="D15" s="5" t="s">
        <v>231</v>
      </c>
    </row>
    <row r="16" spans="1:5" x14ac:dyDescent="0.3">
      <c r="A16" s="4" t="s">
        <v>14</v>
      </c>
      <c r="B16" s="5">
        <v>33</v>
      </c>
      <c r="C16" s="5">
        <v>0</v>
      </c>
      <c r="D16" s="5"/>
    </row>
    <row r="17" spans="1:9" x14ac:dyDescent="0.3">
      <c r="B17" s="3"/>
    </row>
    <row r="20" spans="1:9" x14ac:dyDescent="0.3">
      <c r="A20" s="1" t="s">
        <v>122</v>
      </c>
    </row>
    <row r="21" spans="1:9" s="3" customFormat="1" x14ac:dyDescent="0.3">
      <c r="A21" s="33" t="s">
        <v>424</v>
      </c>
      <c r="B21" s="8"/>
    </row>
    <row r="22" spans="1:9" s="3" customFormat="1" x14ac:dyDescent="0.3">
      <c r="A22" s="34" t="s">
        <v>437</v>
      </c>
      <c r="B22" s="8"/>
    </row>
    <row r="23" spans="1:9" s="3" customFormat="1" x14ac:dyDescent="0.3">
      <c r="A23" s="35" t="s">
        <v>402</v>
      </c>
      <c r="B23" s="8"/>
    </row>
    <row r="24" spans="1:9" s="3" customFormat="1" x14ac:dyDescent="0.3">
      <c r="A24" s="33" t="s">
        <v>436</v>
      </c>
      <c r="B24" s="8"/>
    </row>
    <row r="25" spans="1:9" s="3" customFormat="1" x14ac:dyDescent="0.3">
      <c r="A25" s="33" t="s">
        <v>432</v>
      </c>
      <c r="B25" s="8"/>
    </row>
    <row r="26" spans="1:9" s="3" customFormat="1" x14ac:dyDescent="0.3">
      <c r="A26" s="36" t="s">
        <v>433</v>
      </c>
      <c r="B26" s="8"/>
      <c r="I26" s="3" t="s">
        <v>414</v>
      </c>
    </row>
    <row r="27" spans="1:9" x14ac:dyDescent="0.3">
      <c r="A27" s="33" t="s">
        <v>438</v>
      </c>
    </row>
  </sheetData>
  <mergeCells count="1">
    <mergeCell ref="A1:D1"/>
  </mergeCells>
  <hyperlinks>
    <hyperlink ref="A21" r:id="rId1" xr:uid="{00000000-0004-0000-0900-000000000000}"/>
    <hyperlink ref="A22" r:id="rId2" display="**** YT's official website is now informing the number of hospitalizations, which is 2 as of March 7th." xr:uid="{00000000-0004-0000-0900-000001000000}"/>
    <hyperlink ref="A23" r:id="rId3" xr:uid="{00000000-0004-0000-0900-000002000000}"/>
    <hyperlink ref="A24" r:id="rId4" xr:uid="{00000000-0004-0000-0900-000003000000}"/>
    <hyperlink ref="A25" r:id="rId5" xr:uid="{00000000-0004-0000-0900-000004000000}"/>
    <hyperlink ref="A26" r:id="rId6" display="********MB's information was extracted from a news article dated from March 31st." xr:uid="{00000000-0004-0000-0900-000005000000}"/>
    <hyperlink ref="A27" r:id="rId7" xr:uid="{00000000-0004-0000-0900-000006000000}"/>
  </hyperlinks>
  <pageMargins left="0.7" right="0.7" top="0.75" bottom="0.75" header="0.3" footer="0.3"/>
  <pageSetup orientation="portrait" r:id="rId8"/>
  <drawing r:id="rId9"/>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dimension ref="A1:P24"/>
  <sheetViews>
    <sheetView zoomScale="103" zoomScaleNormal="130" workbookViewId="0">
      <selection activeCell="D9" sqref="D9"/>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117</v>
      </c>
      <c r="B1" s="44"/>
      <c r="C1" s="44"/>
      <c r="D1" s="44"/>
      <c r="E1" s="2"/>
    </row>
    <row r="2" spans="1:5" x14ac:dyDescent="0.3">
      <c r="B2" s="9" t="s">
        <v>1</v>
      </c>
      <c r="C2" s="10" t="s">
        <v>0</v>
      </c>
    </row>
    <row r="3" spans="1:5" ht="15" thickBot="1" x14ac:dyDescent="0.35">
      <c r="B3" s="20">
        <f>SUM(B4,B5,B6,B7,B8,B9,B10,B11,B12,B13,B16,B15,B14)</f>
        <v>750</v>
      </c>
      <c r="C3" s="12">
        <f>SUM(C4,C5,C6,C7,C8,C9,,C10,C11,C12,C13,C16,C15,C14)</f>
        <v>154</v>
      </c>
    </row>
    <row r="4" spans="1:5" s="5" customFormat="1" x14ac:dyDescent="0.3">
      <c r="A4" s="4" t="s">
        <v>2</v>
      </c>
      <c r="B4" s="5">
        <v>76</v>
      </c>
      <c r="C4" s="5">
        <v>17</v>
      </c>
    </row>
    <row r="5" spans="1:5" x14ac:dyDescent="0.3">
      <c r="A5" s="4" t="s">
        <v>3</v>
      </c>
      <c r="B5" s="30">
        <v>77</v>
      </c>
      <c r="C5" s="30">
        <v>13</v>
      </c>
    </row>
    <row r="6" spans="1:5" x14ac:dyDescent="0.3">
      <c r="A6" s="4" t="s">
        <v>4</v>
      </c>
      <c r="B6" s="19">
        <v>206</v>
      </c>
      <c r="C6" s="6">
        <v>47</v>
      </c>
    </row>
    <row r="7" spans="1:5" x14ac:dyDescent="0.3">
      <c r="A7" s="4" t="s">
        <v>5</v>
      </c>
      <c r="B7" s="18">
        <v>357</v>
      </c>
      <c r="C7" s="5">
        <v>68</v>
      </c>
    </row>
    <row r="8" spans="1:5" s="15" customFormat="1" x14ac:dyDescent="0.3">
      <c r="A8" s="14" t="s">
        <v>6</v>
      </c>
      <c r="B8" s="6">
        <v>0</v>
      </c>
      <c r="C8" s="6">
        <v>1</v>
      </c>
    </row>
    <row r="9" spans="1:5" x14ac:dyDescent="0.3">
      <c r="A9" s="4" t="s">
        <v>7</v>
      </c>
      <c r="B9" s="5">
        <v>3</v>
      </c>
      <c r="C9" s="5">
        <v>1</v>
      </c>
    </row>
    <row r="10" spans="1:5" x14ac:dyDescent="0.3">
      <c r="A10" s="4" t="s">
        <v>8</v>
      </c>
      <c r="B10" s="5">
        <v>25</v>
      </c>
      <c r="C10" s="5">
        <v>6</v>
      </c>
    </row>
    <row r="11" spans="1:5" x14ac:dyDescent="0.3">
      <c r="A11" s="4" t="s">
        <v>9</v>
      </c>
      <c r="B11" s="5">
        <v>0</v>
      </c>
      <c r="C11" s="5">
        <v>0</v>
      </c>
    </row>
    <row r="12" spans="1:5" x14ac:dyDescent="0.3">
      <c r="A12" s="4" t="s">
        <v>10</v>
      </c>
      <c r="B12" s="5">
        <v>6</v>
      </c>
      <c r="C12" s="5">
        <v>1</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dimension ref="A1:P24"/>
  <sheetViews>
    <sheetView zoomScale="103" zoomScaleNormal="130" workbookViewId="0">
      <selection activeCell="B13" sqref="B13"/>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116</v>
      </c>
      <c r="B1" s="44"/>
      <c r="C1" s="44"/>
      <c r="D1" s="44"/>
      <c r="E1" s="2"/>
    </row>
    <row r="2" spans="1:5" x14ac:dyDescent="0.3">
      <c r="B2" s="9" t="s">
        <v>1</v>
      </c>
      <c r="C2" s="10" t="s">
        <v>0</v>
      </c>
    </row>
    <row r="3" spans="1:5" ht="15" thickBot="1" x14ac:dyDescent="0.35">
      <c r="B3" s="20">
        <f>SUM(B4,B5,B6,B7,B8,B9,B10,B11,B12,B13,B16,B15,B14)</f>
        <v>703</v>
      </c>
      <c r="C3" s="12">
        <f>SUM(C4,C5,C6,C7,C8,C9,,C10,C11,C12,C13,C16,C15,C14)</f>
        <v>143</v>
      </c>
    </row>
    <row r="4" spans="1:5" s="5" customFormat="1" x14ac:dyDescent="0.3">
      <c r="A4" s="4" t="s">
        <v>2</v>
      </c>
      <c r="B4" s="5">
        <v>71</v>
      </c>
      <c r="C4" s="5">
        <v>16</v>
      </c>
    </row>
    <row r="5" spans="1:5" x14ac:dyDescent="0.3">
      <c r="A5" s="4" t="s">
        <v>3</v>
      </c>
      <c r="B5" s="30">
        <v>61</v>
      </c>
      <c r="C5" s="30">
        <v>13</v>
      </c>
    </row>
    <row r="6" spans="1:5" x14ac:dyDescent="0.3">
      <c r="A6" s="4" t="s">
        <v>4</v>
      </c>
      <c r="B6" s="19">
        <v>195</v>
      </c>
      <c r="C6" s="6">
        <v>43</v>
      </c>
    </row>
    <row r="7" spans="1:5" x14ac:dyDescent="0.3">
      <c r="A7" s="4" t="s">
        <v>5</v>
      </c>
      <c r="B7" s="18">
        <v>347</v>
      </c>
      <c r="C7" s="5">
        <v>62</v>
      </c>
    </row>
    <row r="8" spans="1:5" s="15" customFormat="1" x14ac:dyDescent="0.3">
      <c r="A8" s="14" t="s">
        <v>6</v>
      </c>
      <c r="B8" s="6">
        <v>0</v>
      </c>
      <c r="C8" s="6">
        <v>1</v>
      </c>
    </row>
    <row r="9" spans="1:5" x14ac:dyDescent="0.3">
      <c r="A9" s="4" t="s">
        <v>7</v>
      </c>
      <c r="B9" s="5">
        <v>0</v>
      </c>
      <c r="C9" s="5">
        <v>0</v>
      </c>
    </row>
    <row r="10" spans="1:5" x14ac:dyDescent="0.3">
      <c r="A10" s="4" t="s">
        <v>8</v>
      </c>
      <c r="B10" s="5">
        <v>28</v>
      </c>
      <c r="C10" s="5">
        <v>7</v>
      </c>
    </row>
    <row r="11" spans="1:5" x14ac:dyDescent="0.3">
      <c r="A11" s="4" t="s">
        <v>9</v>
      </c>
      <c r="B11" s="5">
        <v>0</v>
      </c>
      <c r="C11" s="5">
        <v>0</v>
      </c>
    </row>
    <row r="12" spans="1:5" x14ac:dyDescent="0.3">
      <c r="A12" s="4" t="s">
        <v>10</v>
      </c>
      <c r="B12" s="5">
        <v>1</v>
      </c>
      <c r="C12" s="5">
        <v>1</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dimension ref="A1:P24"/>
  <sheetViews>
    <sheetView zoomScale="103" zoomScaleNormal="130" workbookViewId="0">
      <selection activeCell="D18" sqref="D18"/>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115</v>
      </c>
      <c r="B1" s="44"/>
      <c r="C1" s="44"/>
      <c r="D1" s="44"/>
      <c r="E1" s="2"/>
    </row>
    <row r="2" spans="1:5" x14ac:dyDescent="0.3">
      <c r="B2" s="9" t="s">
        <v>1</v>
      </c>
      <c r="C2" s="10" t="s">
        <v>0</v>
      </c>
    </row>
    <row r="3" spans="1:5" ht="15" thickBot="1" x14ac:dyDescent="0.35">
      <c r="B3" s="20">
        <f>SUM(B4,B5,B6,B7,B8,B9,B10,B11,B12,B13,B16,B15,B14)</f>
        <v>599</v>
      </c>
      <c r="C3" s="12">
        <f>SUM(C4,C5,C6,C7,C8,C9,,C10,C11,C12,C13,C16,C15,C14)</f>
        <v>148</v>
      </c>
    </row>
    <row r="4" spans="1:5" s="5" customFormat="1" x14ac:dyDescent="0.3">
      <c r="A4" s="4" t="s">
        <v>2</v>
      </c>
      <c r="B4" s="5">
        <v>69</v>
      </c>
      <c r="C4" s="5">
        <v>19</v>
      </c>
    </row>
    <row r="5" spans="1:5" x14ac:dyDescent="0.3">
      <c r="A5" s="4" t="s">
        <v>3</v>
      </c>
      <c r="B5" s="30">
        <v>64</v>
      </c>
      <c r="C5" s="30">
        <v>15</v>
      </c>
    </row>
    <row r="6" spans="1:5" x14ac:dyDescent="0.3">
      <c r="A6" s="4" t="s">
        <v>4</v>
      </c>
      <c r="B6" s="19">
        <v>176</v>
      </c>
      <c r="C6" s="6">
        <v>43</v>
      </c>
    </row>
    <row r="7" spans="1:5" x14ac:dyDescent="0.3">
      <c r="A7" s="4" t="s">
        <v>5</v>
      </c>
      <c r="B7" s="18">
        <v>270</v>
      </c>
      <c r="C7" s="5">
        <v>64</v>
      </c>
    </row>
    <row r="8" spans="1:5" s="15" customFormat="1" x14ac:dyDescent="0.3">
      <c r="A8" s="14" t="s">
        <v>6</v>
      </c>
      <c r="B8" s="6">
        <v>0</v>
      </c>
      <c r="C8" s="6">
        <v>1</v>
      </c>
    </row>
    <row r="9" spans="1:5" x14ac:dyDescent="0.3">
      <c r="A9" s="4" t="s">
        <v>7</v>
      </c>
      <c r="B9" s="5">
        <v>0</v>
      </c>
      <c r="C9" s="5">
        <v>0</v>
      </c>
    </row>
    <row r="10" spans="1:5" x14ac:dyDescent="0.3">
      <c r="A10" s="4" t="s">
        <v>8</v>
      </c>
      <c r="B10" s="5">
        <v>20</v>
      </c>
      <c r="C10" s="5">
        <v>5</v>
      </c>
    </row>
    <row r="11" spans="1:5" x14ac:dyDescent="0.3">
      <c r="A11" s="4" t="s">
        <v>9</v>
      </c>
      <c r="B11" s="5">
        <v>0</v>
      </c>
      <c r="C11" s="5">
        <v>0</v>
      </c>
    </row>
    <row r="12" spans="1:5" x14ac:dyDescent="0.3">
      <c r="A12" s="4" t="s">
        <v>10</v>
      </c>
      <c r="B12" s="5">
        <v>0</v>
      </c>
      <c r="C12" s="5">
        <v>1</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dimension ref="A1:P24"/>
  <sheetViews>
    <sheetView zoomScale="103" zoomScaleNormal="130" workbookViewId="0">
      <selection activeCell="B15" sqref="B15"/>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114</v>
      </c>
      <c r="B1" s="44"/>
      <c r="C1" s="44"/>
      <c r="D1" s="44"/>
      <c r="E1" s="2"/>
    </row>
    <row r="2" spans="1:5" x14ac:dyDescent="0.3">
      <c r="B2" s="9" t="s">
        <v>1</v>
      </c>
      <c r="C2" s="10" t="s">
        <v>0</v>
      </c>
    </row>
    <row r="3" spans="1:5" ht="15" thickBot="1" x14ac:dyDescent="0.35">
      <c r="B3" s="20">
        <f>SUM(B4,B5,B6,B7,B8,B9,B10,B11,B12,B13,B16,B15,B14)</f>
        <v>575</v>
      </c>
      <c r="C3" s="12">
        <f>SUM(C4,C5,C6,C7,C8,C9,,C10,C11,C12,C13,C16,C15,C14)</f>
        <v>126</v>
      </c>
    </row>
    <row r="4" spans="1:5" s="5" customFormat="1" x14ac:dyDescent="0.3">
      <c r="A4" s="4" t="s">
        <v>2</v>
      </c>
      <c r="B4" s="5">
        <v>69</v>
      </c>
      <c r="C4" s="5">
        <v>19</v>
      </c>
    </row>
    <row r="5" spans="1:5" x14ac:dyDescent="0.3">
      <c r="A5" s="4" t="s">
        <v>3</v>
      </c>
      <c r="B5" s="30">
        <v>64</v>
      </c>
      <c r="C5" s="30">
        <v>12</v>
      </c>
    </row>
    <row r="6" spans="1:5" x14ac:dyDescent="0.3">
      <c r="A6" s="4" t="s">
        <v>4</v>
      </c>
      <c r="B6" s="19">
        <v>167</v>
      </c>
      <c r="C6" s="6">
        <v>38</v>
      </c>
    </row>
    <row r="7" spans="1:5" x14ac:dyDescent="0.3">
      <c r="A7" s="4" t="s">
        <v>5</v>
      </c>
      <c r="B7" s="18">
        <v>253</v>
      </c>
      <c r="C7" s="5">
        <v>49</v>
      </c>
    </row>
    <row r="8" spans="1:5" s="15" customFormat="1" x14ac:dyDescent="0.3">
      <c r="A8" s="14" t="s">
        <v>6</v>
      </c>
      <c r="B8" s="6">
        <v>0</v>
      </c>
      <c r="C8" s="6">
        <v>1</v>
      </c>
    </row>
    <row r="9" spans="1:5" x14ac:dyDescent="0.3">
      <c r="A9" s="4" t="s">
        <v>7</v>
      </c>
      <c r="B9" s="5">
        <v>0</v>
      </c>
      <c r="C9" s="5">
        <v>0</v>
      </c>
    </row>
    <row r="10" spans="1:5" x14ac:dyDescent="0.3">
      <c r="A10" s="4" t="s">
        <v>8</v>
      </c>
      <c r="B10" s="5">
        <v>15</v>
      </c>
      <c r="C10" s="5">
        <v>7</v>
      </c>
    </row>
    <row r="11" spans="1:5" x14ac:dyDescent="0.3">
      <c r="A11" s="4" t="s">
        <v>9</v>
      </c>
      <c r="B11" s="5">
        <v>0</v>
      </c>
      <c r="C11" s="5">
        <v>0</v>
      </c>
    </row>
    <row r="12" spans="1:5" x14ac:dyDescent="0.3">
      <c r="A12" s="4" t="s">
        <v>10</v>
      </c>
      <c r="B12" s="5">
        <v>7</v>
      </c>
      <c r="C12" s="5">
        <v>0</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dimension ref="A1:P24"/>
  <sheetViews>
    <sheetView zoomScale="103" zoomScaleNormal="130" workbookViewId="0">
      <selection activeCell="D19" sqref="D19"/>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113</v>
      </c>
      <c r="B1" s="44"/>
      <c r="C1" s="44"/>
      <c r="D1" s="44"/>
      <c r="E1" s="2"/>
    </row>
    <row r="2" spans="1:5" x14ac:dyDescent="0.3">
      <c r="B2" s="9" t="s">
        <v>1</v>
      </c>
      <c r="C2" s="10" t="s">
        <v>0</v>
      </c>
    </row>
    <row r="3" spans="1:5" ht="15" thickBot="1" x14ac:dyDescent="0.35">
      <c r="B3" s="20">
        <f>SUM(B4,B5,B6,B7,B8,B9,B10,B11,B12,B13,B16,B15,B14)</f>
        <v>497</v>
      </c>
      <c r="C3" s="12">
        <f>SUM(C4,C5,C6,C7,C8,C9,,C10,C11,C12,C13,C16,C15,C14)</f>
        <v>115</v>
      </c>
    </row>
    <row r="4" spans="1:5" s="5" customFormat="1" x14ac:dyDescent="0.3">
      <c r="A4" s="4" t="s">
        <v>2</v>
      </c>
      <c r="B4" s="5">
        <v>69</v>
      </c>
      <c r="C4" s="5">
        <v>22</v>
      </c>
    </row>
    <row r="5" spans="1:5" x14ac:dyDescent="0.3">
      <c r="A5" s="4" t="s">
        <v>3</v>
      </c>
      <c r="B5" s="30">
        <v>63</v>
      </c>
      <c r="C5" s="30">
        <v>13</v>
      </c>
    </row>
    <row r="6" spans="1:5" x14ac:dyDescent="0.3">
      <c r="A6" s="4" t="s">
        <v>4</v>
      </c>
      <c r="B6" s="19">
        <v>137</v>
      </c>
      <c r="C6" s="6">
        <v>30</v>
      </c>
    </row>
    <row r="7" spans="1:5" x14ac:dyDescent="0.3">
      <c r="A7" s="4" t="s">
        <v>5</v>
      </c>
      <c r="B7" s="18">
        <v>206</v>
      </c>
      <c r="C7" s="5">
        <v>41</v>
      </c>
    </row>
    <row r="8" spans="1:5" s="15" customFormat="1" x14ac:dyDescent="0.3">
      <c r="A8" s="14" t="s">
        <v>6</v>
      </c>
      <c r="B8" s="6">
        <v>0</v>
      </c>
      <c r="C8" s="6">
        <v>1</v>
      </c>
    </row>
    <row r="9" spans="1:5" x14ac:dyDescent="0.3">
      <c r="A9" s="4" t="s">
        <v>7</v>
      </c>
      <c r="B9" s="5">
        <v>0</v>
      </c>
      <c r="C9" s="5">
        <v>0</v>
      </c>
    </row>
    <row r="10" spans="1:5" x14ac:dyDescent="0.3">
      <c r="A10" s="4" t="s">
        <v>8</v>
      </c>
      <c r="B10" s="5">
        <v>14</v>
      </c>
      <c r="C10" s="5">
        <v>8</v>
      </c>
    </row>
    <row r="11" spans="1:5" x14ac:dyDescent="0.3">
      <c r="A11" s="4" t="s">
        <v>9</v>
      </c>
      <c r="B11" s="5">
        <v>0</v>
      </c>
      <c r="C11" s="5">
        <v>0</v>
      </c>
    </row>
    <row r="12" spans="1:5" x14ac:dyDescent="0.3">
      <c r="A12" s="4" t="s">
        <v>10</v>
      </c>
      <c r="B12" s="5">
        <v>8</v>
      </c>
      <c r="C12" s="5">
        <v>0</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dimension ref="A1:P24"/>
  <sheetViews>
    <sheetView zoomScale="103" zoomScaleNormal="130" workbookViewId="0">
      <selection activeCell="C17" sqref="C17"/>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112</v>
      </c>
      <c r="B1" s="44"/>
      <c r="C1" s="44"/>
      <c r="D1" s="44"/>
      <c r="E1" s="2"/>
    </row>
    <row r="2" spans="1:5" x14ac:dyDescent="0.3">
      <c r="B2" s="9" t="s">
        <v>1</v>
      </c>
      <c r="C2" s="10" t="s">
        <v>0</v>
      </c>
    </row>
    <row r="3" spans="1:5" ht="15" thickBot="1" x14ac:dyDescent="0.35">
      <c r="B3" s="20">
        <f>SUM(B4,B5,B6,B7,B8,B9,B10,B11,B12,B13,B16,B15,B14)</f>
        <v>441</v>
      </c>
      <c r="C3" s="12">
        <f>SUM(C4,C5,C6,C7,C8,C9,,C10,C11,C12,C13,C16,C15,C14)</f>
        <v>110</v>
      </c>
    </row>
    <row r="4" spans="1:5" s="5" customFormat="1" x14ac:dyDescent="0.3">
      <c r="A4" s="4" t="s">
        <v>2</v>
      </c>
      <c r="B4" s="5">
        <v>62</v>
      </c>
      <c r="C4" s="5">
        <v>19</v>
      </c>
    </row>
    <row r="5" spans="1:5" x14ac:dyDescent="0.3">
      <c r="A5" s="4" t="s">
        <v>3</v>
      </c>
      <c r="B5" s="30">
        <v>56</v>
      </c>
      <c r="C5" s="30">
        <v>14</v>
      </c>
    </row>
    <row r="6" spans="1:5" x14ac:dyDescent="0.3">
      <c r="A6" s="4" t="s">
        <v>4</v>
      </c>
      <c r="B6" s="19">
        <v>128</v>
      </c>
      <c r="C6" s="6">
        <v>29</v>
      </c>
    </row>
    <row r="7" spans="1:5" x14ac:dyDescent="0.3">
      <c r="A7" s="4" t="s">
        <v>5</v>
      </c>
      <c r="B7" s="18">
        <v>175</v>
      </c>
      <c r="C7" s="5">
        <v>41</v>
      </c>
    </row>
    <row r="8" spans="1:5" s="15" customFormat="1" x14ac:dyDescent="0.3">
      <c r="A8" s="14" t="s">
        <v>6</v>
      </c>
      <c r="B8" s="6">
        <v>0</v>
      </c>
      <c r="C8" s="6">
        <v>1</v>
      </c>
    </row>
    <row r="9" spans="1:5" x14ac:dyDescent="0.3">
      <c r="A9" s="4" t="s">
        <v>7</v>
      </c>
      <c r="B9" s="5">
        <v>0</v>
      </c>
      <c r="C9" s="5">
        <v>0</v>
      </c>
    </row>
    <row r="10" spans="1:5" x14ac:dyDescent="0.3">
      <c r="A10" s="4" t="s">
        <v>8</v>
      </c>
      <c r="B10" s="5">
        <v>13</v>
      </c>
      <c r="C10" s="5">
        <v>6</v>
      </c>
    </row>
    <row r="11" spans="1:5" x14ac:dyDescent="0.3">
      <c r="A11" s="4" t="s">
        <v>9</v>
      </c>
      <c r="B11" s="5">
        <v>0</v>
      </c>
      <c r="C11" s="5">
        <v>0</v>
      </c>
    </row>
    <row r="12" spans="1:5" x14ac:dyDescent="0.3">
      <c r="A12" s="4" t="s">
        <v>10</v>
      </c>
      <c r="B12" s="5">
        <v>7</v>
      </c>
      <c r="C12" s="5">
        <v>0</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dimension ref="A1:P24"/>
  <sheetViews>
    <sheetView zoomScale="103" zoomScaleNormal="130" workbookViewId="0">
      <selection activeCell="D14" sqref="D1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111</v>
      </c>
      <c r="B1" s="44"/>
      <c r="C1" s="44"/>
      <c r="D1" s="44"/>
      <c r="E1" s="2"/>
    </row>
    <row r="2" spans="1:5" x14ac:dyDescent="0.3">
      <c r="B2" s="9" t="s">
        <v>1</v>
      </c>
      <c r="C2" s="10" t="s">
        <v>0</v>
      </c>
    </row>
    <row r="3" spans="1:5" ht="15" thickBot="1" x14ac:dyDescent="0.35">
      <c r="B3" s="20">
        <f>SUM(B4,B5,B6,B7,B8,B9,B10,B11,B12,B13,B16,B15,B14)</f>
        <v>378</v>
      </c>
      <c r="C3" s="12">
        <f>SUM(C4,C5,C6,C7,C8,C9,,C10,C11,C12,C13,C16,C15,C14)</f>
        <v>97</v>
      </c>
    </row>
    <row r="4" spans="1:5" s="5" customFormat="1" x14ac:dyDescent="0.3">
      <c r="A4" s="4" t="s">
        <v>2</v>
      </c>
      <c r="B4" s="5">
        <v>61</v>
      </c>
      <c r="C4" s="5">
        <v>20</v>
      </c>
    </row>
    <row r="5" spans="1:5" x14ac:dyDescent="0.3">
      <c r="A5" s="4" t="s">
        <v>3</v>
      </c>
      <c r="B5" s="30">
        <v>58</v>
      </c>
      <c r="C5" s="30">
        <v>14</v>
      </c>
    </row>
    <row r="6" spans="1:5" x14ac:dyDescent="0.3">
      <c r="A6" s="4" t="s">
        <v>4</v>
      </c>
      <c r="B6" s="19">
        <v>87</v>
      </c>
      <c r="C6" s="6">
        <v>25</v>
      </c>
    </row>
    <row r="7" spans="1:5" x14ac:dyDescent="0.3">
      <c r="A7" s="4" t="s">
        <v>5</v>
      </c>
      <c r="B7" s="18">
        <v>153</v>
      </c>
      <c r="C7" s="5">
        <v>31</v>
      </c>
    </row>
    <row r="8" spans="1:5" s="15" customFormat="1" x14ac:dyDescent="0.3">
      <c r="A8" s="14" t="s">
        <v>6</v>
      </c>
      <c r="B8" s="6">
        <v>0</v>
      </c>
      <c r="C8" s="6">
        <v>1</v>
      </c>
    </row>
    <row r="9" spans="1:5" x14ac:dyDescent="0.3">
      <c r="A9" s="4" t="s">
        <v>7</v>
      </c>
      <c r="B9" s="5">
        <v>0</v>
      </c>
      <c r="C9" s="5">
        <v>0</v>
      </c>
    </row>
    <row r="10" spans="1:5" x14ac:dyDescent="0.3">
      <c r="A10" s="4" t="s">
        <v>8</v>
      </c>
      <c r="B10" s="5">
        <v>11</v>
      </c>
      <c r="C10" s="5">
        <v>6</v>
      </c>
    </row>
    <row r="11" spans="1:5" x14ac:dyDescent="0.3">
      <c r="A11" s="4" t="s">
        <v>9</v>
      </c>
      <c r="B11" s="5">
        <v>0</v>
      </c>
      <c r="C11" s="5">
        <v>0</v>
      </c>
    </row>
    <row r="12" spans="1:5" x14ac:dyDescent="0.3">
      <c r="A12" s="4" t="s">
        <v>10</v>
      </c>
      <c r="B12" s="5">
        <v>8</v>
      </c>
      <c r="C12" s="5">
        <v>0</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dimension ref="A1:P24"/>
  <sheetViews>
    <sheetView zoomScale="103" zoomScaleNormal="130" workbookViewId="0">
      <selection activeCell="E19" sqref="E19"/>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110</v>
      </c>
      <c r="B1" s="44"/>
      <c r="C1" s="44"/>
      <c r="D1" s="44"/>
      <c r="E1" s="2"/>
    </row>
    <row r="2" spans="1:5" x14ac:dyDescent="0.3">
      <c r="B2" s="9" t="s">
        <v>1</v>
      </c>
      <c r="C2" s="10" t="s">
        <v>0</v>
      </c>
    </row>
    <row r="3" spans="1:5" ht="15" thickBot="1" x14ac:dyDescent="0.35">
      <c r="B3" s="20">
        <f>SUM(B4,B5,B6,B7,B8,B9,B10,B11,B12,B13,B16,B15,B14)</f>
        <v>366</v>
      </c>
      <c r="C3" s="12">
        <f>SUM(C4,C5,C6,C7,C8,C9,,C10,C11,C12,C13,C16,C15,C14)</f>
        <v>88</v>
      </c>
    </row>
    <row r="4" spans="1:5" s="5" customFormat="1" x14ac:dyDescent="0.3">
      <c r="A4" s="4" t="s">
        <v>2</v>
      </c>
      <c r="B4" s="5">
        <v>61</v>
      </c>
      <c r="C4" s="5">
        <v>22</v>
      </c>
    </row>
    <row r="5" spans="1:5" x14ac:dyDescent="0.3">
      <c r="A5" s="4" t="s">
        <v>3</v>
      </c>
      <c r="B5" s="30">
        <v>51</v>
      </c>
      <c r="C5" s="30">
        <v>9</v>
      </c>
    </row>
    <row r="6" spans="1:5" x14ac:dyDescent="0.3">
      <c r="A6" s="4" t="s">
        <v>4</v>
      </c>
      <c r="B6" s="19">
        <v>88</v>
      </c>
      <c r="C6" s="6">
        <v>24</v>
      </c>
    </row>
    <row r="7" spans="1:5" x14ac:dyDescent="0.3">
      <c r="A7" s="4" t="s">
        <v>5</v>
      </c>
      <c r="B7" s="18">
        <v>148</v>
      </c>
      <c r="C7" s="5">
        <v>30</v>
      </c>
    </row>
    <row r="8" spans="1:5" x14ac:dyDescent="0.3">
      <c r="A8" s="4" t="s">
        <v>6</v>
      </c>
      <c r="B8" s="18">
        <v>1</v>
      </c>
      <c r="C8" s="18">
        <v>0</v>
      </c>
    </row>
    <row r="9" spans="1:5" x14ac:dyDescent="0.3">
      <c r="A9" s="4" t="s">
        <v>7</v>
      </c>
      <c r="B9" s="5">
        <v>0</v>
      </c>
      <c r="C9" s="5">
        <v>0</v>
      </c>
    </row>
    <row r="10" spans="1:5" x14ac:dyDescent="0.3">
      <c r="A10" s="4" t="s">
        <v>8</v>
      </c>
      <c r="B10" s="5">
        <v>8</v>
      </c>
      <c r="C10" s="5">
        <v>2</v>
      </c>
    </row>
    <row r="11" spans="1:5" x14ac:dyDescent="0.3">
      <c r="A11" s="4" t="s">
        <v>9</v>
      </c>
      <c r="B11" s="5">
        <v>0</v>
      </c>
      <c r="C11" s="5">
        <v>0</v>
      </c>
    </row>
    <row r="12" spans="1:5" x14ac:dyDescent="0.3">
      <c r="A12" s="4" t="s">
        <v>10</v>
      </c>
      <c r="B12" s="5">
        <v>9</v>
      </c>
      <c r="C12" s="5">
        <v>1</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dimension ref="A1:P24"/>
  <sheetViews>
    <sheetView zoomScale="103" zoomScaleNormal="130" workbookViewId="0">
      <selection activeCell="C14" sqref="C1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109</v>
      </c>
      <c r="B1" s="44"/>
      <c r="C1" s="44"/>
      <c r="D1" s="44"/>
      <c r="E1" s="2"/>
    </row>
    <row r="2" spans="1:5" x14ac:dyDescent="0.3">
      <c r="B2" s="9" t="s">
        <v>1</v>
      </c>
      <c r="C2" s="10" t="s">
        <v>0</v>
      </c>
    </row>
    <row r="3" spans="1:5" ht="15" thickBot="1" x14ac:dyDescent="0.35">
      <c r="B3" s="20">
        <f>SUM(B4,B5,B6,B7,B8,B9,B10,B11,B12,B13,B16,B15,B14)</f>
        <v>296</v>
      </c>
      <c r="C3" s="12">
        <f>SUM(C4,C5,C6,C7,C8,C9,,C10,C11,C12,C13,C16,C15,C14)</f>
        <v>86</v>
      </c>
    </row>
    <row r="4" spans="1:5" s="5" customFormat="1" x14ac:dyDescent="0.3">
      <c r="A4" s="4" t="s">
        <v>2</v>
      </c>
      <c r="B4" s="5">
        <v>59</v>
      </c>
      <c r="C4" s="5">
        <v>20</v>
      </c>
    </row>
    <row r="5" spans="1:5" x14ac:dyDescent="0.3">
      <c r="A5" s="4" t="s">
        <v>3</v>
      </c>
      <c r="B5" s="30">
        <v>44</v>
      </c>
      <c r="C5" s="30">
        <v>7</v>
      </c>
    </row>
    <row r="6" spans="1:5" x14ac:dyDescent="0.3">
      <c r="A6" s="4" t="s">
        <v>4</v>
      </c>
      <c r="B6" s="19">
        <v>65</v>
      </c>
      <c r="C6" s="6">
        <v>22</v>
      </c>
    </row>
    <row r="7" spans="1:5" x14ac:dyDescent="0.3">
      <c r="A7" s="4" t="s">
        <v>5</v>
      </c>
      <c r="B7" s="18">
        <v>107</v>
      </c>
      <c r="C7" s="5">
        <v>33</v>
      </c>
    </row>
    <row r="8" spans="1:5" x14ac:dyDescent="0.3">
      <c r="A8" s="4" t="s">
        <v>6</v>
      </c>
      <c r="B8" s="18">
        <v>0</v>
      </c>
      <c r="C8" s="18">
        <v>0</v>
      </c>
    </row>
    <row r="9" spans="1:5" x14ac:dyDescent="0.3">
      <c r="A9" s="4" t="s">
        <v>7</v>
      </c>
      <c r="B9" s="5">
        <v>0</v>
      </c>
      <c r="C9" s="5">
        <v>0</v>
      </c>
    </row>
    <row r="10" spans="1:5" x14ac:dyDescent="0.3">
      <c r="A10" s="4" t="s">
        <v>8</v>
      </c>
      <c r="B10" s="5">
        <v>11</v>
      </c>
      <c r="C10" s="5">
        <v>3</v>
      </c>
    </row>
    <row r="11" spans="1:5" x14ac:dyDescent="0.3">
      <c r="A11" s="4" t="s">
        <v>9</v>
      </c>
      <c r="B11" s="5">
        <v>0</v>
      </c>
      <c r="C11" s="5">
        <v>0</v>
      </c>
    </row>
    <row r="12" spans="1:5" x14ac:dyDescent="0.3">
      <c r="A12" s="4" t="s">
        <v>10</v>
      </c>
      <c r="B12" s="5">
        <v>10</v>
      </c>
      <c r="C12" s="5">
        <v>1</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dimension ref="A1:P24"/>
  <sheetViews>
    <sheetView zoomScale="103" zoomScaleNormal="130" workbookViewId="0">
      <selection activeCell="D11" sqref="D11"/>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108</v>
      </c>
      <c r="B1" s="44"/>
      <c r="C1" s="44"/>
      <c r="D1" s="44"/>
      <c r="E1" s="2"/>
    </row>
    <row r="2" spans="1:5" x14ac:dyDescent="0.3">
      <c r="B2" s="9" t="s">
        <v>1</v>
      </c>
      <c r="C2" s="10" t="s">
        <v>0</v>
      </c>
    </row>
    <row r="3" spans="1:5" ht="15" thickBot="1" x14ac:dyDescent="0.35">
      <c r="B3" s="20">
        <f>SUM(B4,B5,B6,B7,B8,B9,B10,B11,B12,B13,B16,B15,B14)</f>
        <v>277</v>
      </c>
      <c r="C3" s="12">
        <f>SUM(C4,C5,C6,C7,C8,C9,,C10,C11,C12,C13,C16,C15,C14)</f>
        <v>82</v>
      </c>
    </row>
    <row r="4" spans="1:5" s="5" customFormat="1" x14ac:dyDescent="0.3">
      <c r="A4" s="4" t="s">
        <v>2</v>
      </c>
      <c r="B4" s="5">
        <v>57</v>
      </c>
      <c r="C4" s="5">
        <v>22</v>
      </c>
    </row>
    <row r="5" spans="1:5" x14ac:dyDescent="0.3">
      <c r="A5" s="4" t="s">
        <v>3</v>
      </c>
      <c r="B5" s="30">
        <v>41</v>
      </c>
      <c r="C5" s="30">
        <v>8</v>
      </c>
    </row>
    <row r="6" spans="1:5" x14ac:dyDescent="0.3">
      <c r="A6" s="4" t="s">
        <v>4</v>
      </c>
      <c r="B6" s="19">
        <v>58</v>
      </c>
      <c r="C6" s="6">
        <v>20</v>
      </c>
    </row>
    <row r="7" spans="1:5" x14ac:dyDescent="0.3">
      <c r="A7" s="4" t="s">
        <v>5</v>
      </c>
      <c r="B7" s="18">
        <v>106</v>
      </c>
      <c r="C7" s="5">
        <v>30</v>
      </c>
    </row>
    <row r="8" spans="1:5" x14ac:dyDescent="0.3">
      <c r="A8" s="4" t="s">
        <v>6</v>
      </c>
      <c r="B8" s="18">
        <v>0</v>
      </c>
      <c r="C8" s="18">
        <v>0</v>
      </c>
    </row>
    <row r="9" spans="1:5" x14ac:dyDescent="0.3">
      <c r="A9" s="4" t="s">
        <v>7</v>
      </c>
      <c r="B9" s="5">
        <v>0</v>
      </c>
      <c r="C9" s="5">
        <v>0</v>
      </c>
    </row>
    <row r="10" spans="1:5" x14ac:dyDescent="0.3">
      <c r="A10" s="4" t="s">
        <v>8</v>
      </c>
      <c r="B10" s="5">
        <v>10</v>
      </c>
      <c r="C10" s="5">
        <v>2</v>
      </c>
    </row>
    <row r="11" spans="1:5" x14ac:dyDescent="0.3">
      <c r="A11" s="4" t="s">
        <v>9</v>
      </c>
      <c r="B11" s="5">
        <v>0</v>
      </c>
      <c r="C11" s="5">
        <v>0</v>
      </c>
    </row>
    <row r="12" spans="1:5" x14ac:dyDescent="0.3">
      <c r="A12" s="4" t="s">
        <v>10</v>
      </c>
      <c r="B12" s="5">
        <v>5</v>
      </c>
      <c r="C12" s="5">
        <v>0</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P26"/>
  <sheetViews>
    <sheetView zoomScaleNormal="100" workbookViewId="0">
      <selection activeCell="L8" sqref="L8"/>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434</v>
      </c>
      <c r="B1" s="44"/>
      <c r="C1" s="44"/>
      <c r="D1" s="44"/>
      <c r="E1" s="2"/>
    </row>
    <row r="2" spans="1:5" x14ac:dyDescent="0.3">
      <c r="B2" s="9" t="s">
        <v>1</v>
      </c>
      <c r="C2" s="10" t="s">
        <v>0</v>
      </c>
    </row>
    <row r="3" spans="1:5" ht="15" thickBot="1" x14ac:dyDescent="0.35">
      <c r="B3" s="20">
        <f>SUM(B4,B5,B6,B7,B8,B9,B10,B11,B12,B13,B16,B15,B14)</f>
        <v>4233</v>
      </c>
      <c r="C3" s="12">
        <f>SUM(C4,C5,C6,C7,C8,C9,,C10,C11,C12,C13,C16,C15,C14)</f>
        <v>385</v>
      </c>
    </row>
    <row r="4" spans="1:5" s="5" customFormat="1" x14ac:dyDescent="0.3">
      <c r="A4" s="4" t="s">
        <v>2</v>
      </c>
      <c r="B4" s="5">
        <v>274</v>
      </c>
      <c r="C4" s="5">
        <v>35</v>
      </c>
    </row>
    <row r="5" spans="1:5" x14ac:dyDescent="0.3">
      <c r="A5" s="4" t="s">
        <v>3</v>
      </c>
      <c r="B5" s="30">
        <v>964</v>
      </c>
      <c r="C5" s="30">
        <v>47</v>
      </c>
      <c r="D5" s="5"/>
    </row>
    <row r="6" spans="1:5" x14ac:dyDescent="0.3">
      <c r="A6" s="4" t="s">
        <v>4</v>
      </c>
      <c r="B6" s="19">
        <v>857</v>
      </c>
      <c r="C6" s="6">
        <v>168</v>
      </c>
      <c r="D6" s="5"/>
    </row>
    <row r="7" spans="1:5" x14ac:dyDescent="0.3">
      <c r="A7" s="4" t="s">
        <v>5</v>
      </c>
      <c r="B7" s="32">
        <v>1407</v>
      </c>
      <c r="C7" s="5">
        <v>69</v>
      </c>
      <c r="D7" s="5"/>
    </row>
    <row r="8" spans="1:5" s="15" customFormat="1" x14ac:dyDescent="0.3">
      <c r="A8" s="14" t="s">
        <v>6</v>
      </c>
      <c r="B8" s="6">
        <v>51</v>
      </c>
      <c r="C8" s="6">
        <v>11</v>
      </c>
      <c r="D8" s="5"/>
    </row>
    <row r="9" spans="1:5" x14ac:dyDescent="0.3">
      <c r="A9" s="4" t="s">
        <v>7</v>
      </c>
      <c r="B9" s="5">
        <v>142</v>
      </c>
      <c r="C9" s="5">
        <v>8</v>
      </c>
      <c r="D9" s="5"/>
    </row>
    <row r="10" spans="1:5" x14ac:dyDescent="0.3">
      <c r="A10" s="4" t="s">
        <v>8</v>
      </c>
      <c r="B10" s="5">
        <v>111</v>
      </c>
      <c r="C10" s="5">
        <v>16</v>
      </c>
      <c r="D10" s="5"/>
    </row>
    <row r="11" spans="1:5" x14ac:dyDescent="0.3">
      <c r="A11" s="4" t="s">
        <v>9</v>
      </c>
      <c r="B11" s="5">
        <v>19</v>
      </c>
      <c r="C11" s="5">
        <v>1</v>
      </c>
      <c r="D11" s="5"/>
    </row>
    <row r="12" spans="1:5" x14ac:dyDescent="0.3">
      <c r="A12" s="4" t="s">
        <v>10</v>
      </c>
      <c r="B12" s="5">
        <v>324</v>
      </c>
      <c r="C12" s="5">
        <v>21</v>
      </c>
      <c r="D12" s="5"/>
    </row>
    <row r="13" spans="1:5" x14ac:dyDescent="0.3">
      <c r="A13" s="4" t="s">
        <v>11</v>
      </c>
      <c r="B13" s="5">
        <v>43</v>
      </c>
      <c r="C13" s="5">
        <v>9</v>
      </c>
      <c r="D13" s="5"/>
    </row>
    <row r="14" spans="1:5" x14ac:dyDescent="0.3">
      <c r="A14" s="4" t="s">
        <v>12</v>
      </c>
      <c r="B14" s="8">
        <v>8</v>
      </c>
      <c r="C14" s="7">
        <v>0</v>
      </c>
      <c r="D14" s="5"/>
    </row>
    <row r="15" spans="1:5" x14ac:dyDescent="0.3">
      <c r="A15" s="4" t="s">
        <v>13</v>
      </c>
      <c r="B15" s="5">
        <v>0</v>
      </c>
      <c r="C15" s="5">
        <v>0</v>
      </c>
      <c r="D15" s="5" t="s">
        <v>231</v>
      </c>
    </row>
    <row r="16" spans="1:5" x14ac:dyDescent="0.3">
      <c r="A16" s="4" t="s">
        <v>14</v>
      </c>
      <c r="B16" s="5">
        <v>33</v>
      </c>
      <c r="C16" s="5">
        <v>0</v>
      </c>
      <c r="D16" s="5"/>
    </row>
    <row r="17" spans="1:9" x14ac:dyDescent="0.3">
      <c r="B17" s="3"/>
    </row>
    <row r="20" spans="1:9" x14ac:dyDescent="0.3">
      <c r="A20" s="1" t="s">
        <v>122</v>
      </c>
    </row>
    <row r="21" spans="1:9" s="3" customFormat="1" x14ac:dyDescent="0.3">
      <c r="A21" s="33" t="s">
        <v>424</v>
      </c>
      <c r="B21" s="8"/>
    </row>
    <row r="22" spans="1:9" s="3" customFormat="1" x14ac:dyDescent="0.3">
      <c r="A22" s="34" t="s">
        <v>425</v>
      </c>
      <c r="B22" s="8"/>
    </row>
    <row r="23" spans="1:9" s="3" customFormat="1" x14ac:dyDescent="0.3">
      <c r="A23" s="35" t="s">
        <v>402</v>
      </c>
      <c r="B23" s="8"/>
    </row>
    <row r="24" spans="1:9" s="3" customFormat="1" x14ac:dyDescent="0.3">
      <c r="A24" s="33" t="s">
        <v>429</v>
      </c>
      <c r="B24" s="8"/>
    </row>
    <row r="25" spans="1:9" s="3" customFormat="1" x14ac:dyDescent="0.3">
      <c r="A25" s="33" t="s">
        <v>432</v>
      </c>
      <c r="B25" s="8"/>
    </row>
    <row r="26" spans="1:9" s="3" customFormat="1" x14ac:dyDescent="0.3">
      <c r="A26" s="36" t="s">
        <v>433</v>
      </c>
      <c r="B26" s="8"/>
      <c r="I26" s="3" t="s">
        <v>414</v>
      </c>
    </row>
  </sheetData>
  <mergeCells count="1">
    <mergeCell ref="A1:D1"/>
  </mergeCells>
  <hyperlinks>
    <hyperlink ref="A21" r:id="rId1" xr:uid="{00000000-0004-0000-0A00-000000000000}"/>
    <hyperlink ref="A22" r:id="rId2" display="**** YT's official website is now informing the number of hospitalizations, which is 2 as of March 7th." xr:uid="{00000000-0004-0000-0A00-000001000000}"/>
    <hyperlink ref="A23" r:id="rId3" xr:uid="{00000000-0004-0000-0A00-000002000000}"/>
    <hyperlink ref="A24" r:id="rId4" xr:uid="{00000000-0004-0000-0A00-000003000000}"/>
    <hyperlink ref="A25" r:id="rId5" xr:uid="{00000000-0004-0000-0A00-000004000000}"/>
    <hyperlink ref="A26" r:id="rId6" display="********MB's information was extracted from a news article dated from March 31st." xr:uid="{00000000-0004-0000-0A00-000005000000}"/>
  </hyperlinks>
  <pageMargins left="0.7" right="0.7" top="0.75" bottom="0.75" header="0.3" footer="0.3"/>
  <pageSetup orientation="portrait" r:id="rId7"/>
  <drawing r:id="rId8"/>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dimension ref="A1:P24"/>
  <sheetViews>
    <sheetView zoomScale="103" zoomScaleNormal="130" workbookViewId="0">
      <selection activeCell="E19" sqref="E19"/>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107</v>
      </c>
      <c r="B1" s="44"/>
      <c r="C1" s="44"/>
      <c r="D1" s="44"/>
      <c r="E1" s="2"/>
    </row>
    <row r="2" spans="1:5" x14ac:dyDescent="0.3">
      <c r="B2" s="9" t="s">
        <v>1</v>
      </c>
      <c r="C2" s="10" t="s">
        <v>0</v>
      </c>
    </row>
    <row r="3" spans="1:5" ht="15" thickBot="1" x14ac:dyDescent="0.35">
      <c r="B3" s="20">
        <f>SUM(B4,B5,B6,B7,B8,B9,B10,B11,B12,B13,B16,B15,B14)</f>
        <v>263</v>
      </c>
      <c r="C3" s="12">
        <f>SUM(C4,C5,C6,C7,C8,C9,,C10,C11,C12,C13,C16,C15,C14)</f>
        <v>76</v>
      </c>
    </row>
    <row r="4" spans="1:5" s="5" customFormat="1" x14ac:dyDescent="0.3">
      <c r="A4" s="4" t="s">
        <v>2</v>
      </c>
      <c r="B4" s="5">
        <v>63</v>
      </c>
      <c r="C4" s="5">
        <v>20</v>
      </c>
    </row>
    <row r="5" spans="1:5" x14ac:dyDescent="0.3">
      <c r="A5" s="4" t="s">
        <v>3</v>
      </c>
      <c r="B5" s="30">
        <v>39</v>
      </c>
      <c r="C5" s="30">
        <v>7</v>
      </c>
    </row>
    <row r="6" spans="1:5" x14ac:dyDescent="0.3">
      <c r="A6" s="4" t="s">
        <v>4</v>
      </c>
      <c r="B6" s="19">
        <v>44</v>
      </c>
      <c r="C6" s="6">
        <v>20</v>
      </c>
    </row>
    <row r="7" spans="1:5" x14ac:dyDescent="0.3">
      <c r="A7" s="4" t="s">
        <v>5</v>
      </c>
      <c r="B7" s="18">
        <v>104</v>
      </c>
      <c r="C7" s="5">
        <v>26</v>
      </c>
    </row>
    <row r="8" spans="1:5" x14ac:dyDescent="0.3">
      <c r="A8" s="4" t="s">
        <v>6</v>
      </c>
      <c r="B8" s="18">
        <v>0</v>
      </c>
      <c r="C8" s="18">
        <v>0</v>
      </c>
    </row>
    <row r="9" spans="1:5" x14ac:dyDescent="0.3">
      <c r="A9" s="4" t="s">
        <v>7</v>
      </c>
      <c r="B9" s="5">
        <v>0</v>
      </c>
      <c r="C9" s="5">
        <v>0</v>
      </c>
    </row>
    <row r="10" spans="1:5" x14ac:dyDescent="0.3">
      <c r="A10" s="4" t="s">
        <v>8</v>
      </c>
      <c r="B10" s="5">
        <v>9</v>
      </c>
      <c r="C10" s="5">
        <v>3</v>
      </c>
    </row>
    <row r="11" spans="1:5" x14ac:dyDescent="0.3">
      <c r="A11" s="4" t="s">
        <v>9</v>
      </c>
      <c r="B11" s="5">
        <v>0</v>
      </c>
      <c r="C11" s="5">
        <v>0</v>
      </c>
    </row>
    <row r="12" spans="1:5" x14ac:dyDescent="0.3">
      <c r="A12" s="4" t="s">
        <v>10</v>
      </c>
      <c r="B12" s="5">
        <v>4</v>
      </c>
      <c r="C12" s="5">
        <v>0</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dimension ref="A1:P24"/>
  <sheetViews>
    <sheetView zoomScale="103" zoomScaleNormal="130" workbookViewId="0">
      <selection activeCell="C18" sqref="C18"/>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106</v>
      </c>
      <c r="B1" s="44"/>
      <c r="C1" s="44"/>
      <c r="D1" s="44"/>
      <c r="E1" s="2"/>
    </row>
    <row r="2" spans="1:5" x14ac:dyDescent="0.3">
      <c r="B2" s="9" t="s">
        <v>1</v>
      </c>
      <c r="C2" s="10" t="s">
        <v>0</v>
      </c>
    </row>
    <row r="3" spans="1:5" ht="15" thickBot="1" x14ac:dyDescent="0.35">
      <c r="B3" s="20">
        <f>SUM(B4,B5,B6,B7,B8,B9,B10,B11,B12,B13,B16,B15,B14)</f>
        <v>259</v>
      </c>
      <c r="C3" s="12">
        <f>SUM(C4,C5,C6,C7,C8,C9,,C10,C11,C12,C13,C16,C15,C14)</f>
        <v>55</v>
      </c>
    </row>
    <row r="4" spans="1:5" s="5" customFormat="1" x14ac:dyDescent="0.3">
      <c r="A4" s="4" t="s">
        <v>2</v>
      </c>
      <c r="B4" s="5">
        <v>49</v>
      </c>
      <c r="C4" s="5">
        <v>10</v>
      </c>
    </row>
    <row r="5" spans="1:5" x14ac:dyDescent="0.3">
      <c r="A5" s="4" t="s">
        <v>3</v>
      </c>
      <c r="B5" s="30">
        <v>41</v>
      </c>
      <c r="C5" s="30">
        <v>6</v>
      </c>
    </row>
    <row r="6" spans="1:5" x14ac:dyDescent="0.3">
      <c r="A6" s="4" t="s">
        <v>4</v>
      </c>
      <c r="B6" s="19">
        <v>47</v>
      </c>
      <c r="C6" s="6">
        <v>17</v>
      </c>
    </row>
    <row r="7" spans="1:5" x14ac:dyDescent="0.3">
      <c r="A7" s="4" t="s">
        <v>5</v>
      </c>
      <c r="B7" s="18">
        <v>105</v>
      </c>
      <c r="C7" s="5">
        <v>19</v>
      </c>
    </row>
    <row r="8" spans="1:5" x14ac:dyDescent="0.3">
      <c r="A8" s="4" t="s">
        <v>6</v>
      </c>
      <c r="B8" s="18">
        <v>0</v>
      </c>
      <c r="C8" s="18">
        <v>0</v>
      </c>
    </row>
    <row r="9" spans="1:5" x14ac:dyDescent="0.3">
      <c r="A9" s="4" t="s">
        <v>7</v>
      </c>
      <c r="B9" s="5">
        <v>0</v>
      </c>
      <c r="C9" s="5">
        <v>0</v>
      </c>
    </row>
    <row r="10" spans="1:5" x14ac:dyDescent="0.3">
      <c r="A10" s="4" t="s">
        <v>8</v>
      </c>
      <c r="B10" s="5">
        <v>15</v>
      </c>
      <c r="C10" s="5">
        <v>3</v>
      </c>
    </row>
    <row r="11" spans="1:5" x14ac:dyDescent="0.3">
      <c r="A11" s="4" t="s">
        <v>9</v>
      </c>
      <c r="B11" s="5">
        <v>0</v>
      </c>
      <c r="C11" s="5">
        <v>0</v>
      </c>
    </row>
    <row r="12" spans="1:5" x14ac:dyDescent="0.3">
      <c r="A12" s="4" t="s">
        <v>10</v>
      </c>
      <c r="B12" s="5">
        <v>2</v>
      </c>
      <c r="C12" s="5">
        <v>0</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dimension ref="A1:P24"/>
  <sheetViews>
    <sheetView zoomScale="103" zoomScaleNormal="130" workbookViewId="0">
      <selection activeCell="D10" sqref="D10"/>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105</v>
      </c>
      <c r="B1" s="44"/>
      <c r="C1" s="44"/>
      <c r="D1" s="44"/>
      <c r="E1" s="2"/>
    </row>
    <row r="2" spans="1:5" x14ac:dyDescent="0.3">
      <c r="B2" s="9" t="s">
        <v>1</v>
      </c>
      <c r="C2" s="10" t="s">
        <v>0</v>
      </c>
    </row>
    <row r="3" spans="1:5" ht="15" thickBot="1" x14ac:dyDescent="0.35">
      <c r="B3" s="20">
        <f>SUM(B4,B5,B6,B7,B8,B9,B10,B11,B12,B13,B16,B15,B14)</f>
        <v>259</v>
      </c>
      <c r="C3" s="12">
        <f>SUM(C4,C5,C6,C7,C8,C9,,C10,C11,C12,C13,C16,C15,C14)</f>
        <v>53</v>
      </c>
    </row>
    <row r="4" spans="1:5" s="5" customFormat="1" x14ac:dyDescent="0.3">
      <c r="A4" s="4" t="s">
        <v>2</v>
      </c>
      <c r="B4" s="5">
        <v>32</v>
      </c>
      <c r="C4" s="5">
        <v>12</v>
      </c>
    </row>
    <row r="5" spans="1:5" x14ac:dyDescent="0.3">
      <c r="A5" s="4" t="s">
        <v>3</v>
      </c>
      <c r="B5" s="30">
        <v>43</v>
      </c>
      <c r="C5" s="30">
        <v>7</v>
      </c>
    </row>
    <row r="6" spans="1:5" x14ac:dyDescent="0.3">
      <c r="A6" s="4" t="s">
        <v>4</v>
      </c>
      <c r="B6" s="19">
        <v>49</v>
      </c>
      <c r="C6" s="6">
        <v>18</v>
      </c>
    </row>
    <row r="7" spans="1:5" x14ac:dyDescent="0.3">
      <c r="A7" s="4" t="s">
        <v>5</v>
      </c>
      <c r="B7" s="18">
        <v>123</v>
      </c>
      <c r="C7" s="5">
        <v>12</v>
      </c>
    </row>
    <row r="8" spans="1:5" x14ac:dyDescent="0.3">
      <c r="A8" s="4" t="s">
        <v>6</v>
      </c>
      <c r="B8" s="18">
        <v>0</v>
      </c>
      <c r="C8" s="18">
        <v>0</v>
      </c>
    </row>
    <row r="9" spans="1:5" x14ac:dyDescent="0.3">
      <c r="A9" s="4" t="s">
        <v>7</v>
      </c>
      <c r="B9" s="5">
        <v>0</v>
      </c>
      <c r="C9" s="5">
        <v>0</v>
      </c>
    </row>
    <row r="10" spans="1:5" x14ac:dyDescent="0.3">
      <c r="A10" s="4" t="s">
        <v>8</v>
      </c>
      <c r="B10" s="5">
        <v>11</v>
      </c>
      <c r="C10" s="5">
        <v>3</v>
      </c>
    </row>
    <row r="11" spans="1:5" x14ac:dyDescent="0.3">
      <c r="A11" s="4" t="s">
        <v>9</v>
      </c>
      <c r="B11" s="5">
        <v>0</v>
      </c>
      <c r="C11" s="5">
        <v>0</v>
      </c>
    </row>
    <row r="12" spans="1:5" x14ac:dyDescent="0.3">
      <c r="A12" s="4" t="s">
        <v>10</v>
      </c>
      <c r="B12" s="5">
        <v>1</v>
      </c>
      <c r="C12" s="5">
        <v>1</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dimension ref="A1:P24"/>
  <sheetViews>
    <sheetView zoomScale="103" zoomScaleNormal="130" workbookViewId="0">
      <selection activeCell="J11" sqref="J11"/>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104</v>
      </c>
      <c r="B1" s="44"/>
      <c r="C1" s="44"/>
      <c r="D1" s="44"/>
      <c r="E1" s="2"/>
    </row>
    <row r="2" spans="1:5" x14ac:dyDescent="0.3">
      <c r="B2" s="9" t="s">
        <v>1</v>
      </c>
      <c r="C2" s="10" t="s">
        <v>0</v>
      </c>
    </row>
    <row r="3" spans="1:5" ht="15" thickBot="1" x14ac:dyDescent="0.35">
      <c r="B3" s="20">
        <f>SUM(B4,B5,B6,B7,B8,B9,B10,B11,B12,B13,B16,B15,B14)</f>
        <v>256</v>
      </c>
      <c r="C3" s="12">
        <f>SUM(C4,C5,C6,C7,C8,C9,,C10,C11,C12,C13,C16,C15,C14)</f>
        <v>52</v>
      </c>
    </row>
    <row r="4" spans="1:5" s="5" customFormat="1" x14ac:dyDescent="0.3">
      <c r="A4" s="4" t="s">
        <v>2</v>
      </c>
      <c r="B4" s="5">
        <v>37</v>
      </c>
      <c r="C4" s="5">
        <v>15</v>
      </c>
    </row>
    <row r="5" spans="1:5" x14ac:dyDescent="0.3">
      <c r="A5" s="4" t="s">
        <v>3</v>
      </c>
      <c r="B5" s="30">
        <v>45</v>
      </c>
      <c r="C5" s="30">
        <v>7</v>
      </c>
    </row>
    <row r="6" spans="1:5" x14ac:dyDescent="0.3">
      <c r="A6" s="4" t="s">
        <v>4</v>
      </c>
      <c r="B6" s="19">
        <v>54</v>
      </c>
      <c r="C6" s="6">
        <v>14</v>
      </c>
    </row>
    <row r="7" spans="1:5" x14ac:dyDescent="0.3">
      <c r="A7" s="4" t="s">
        <v>5</v>
      </c>
      <c r="B7" s="18">
        <v>107</v>
      </c>
      <c r="C7" s="5">
        <v>12</v>
      </c>
    </row>
    <row r="8" spans="1:5" x14ac:dyDescent="0.3">
      <c r="A8" s="4" t="s">
        <v>6</v>
      </c>
      <c r="B8" s="18">
        <v>0</v>
      </c>
      <c r="C8" s="18">
        <v>0</v>
      </c>
    </row>
    <row r="9" spans="1:5" x14ac:dyDescent="0.3">
      <c r="A9" s="4" t="s">
        <v>7</v>
      </c>
      <c r="B9" s="5">
        <v>0</v>
      </c>
      <c r="C9" s="5">
        <v>0</v>
      </c>
    </row>
    <row r="10" spans="1:5" x14ac:dyDescent="0.3">
      <c r="A10" s="4" t="s">
        <v>8</v>
      </c>
      <c r="B10" s="5">
        <v>12</v>
      </c>
      <c r="C10" s="5">
        <v>3</v>
      </c>
    </row>
    <row r="11" spans="1:5" x14ac:dyDescent="0.3">
      <c r="A11" s="4" t="s">
        <v>9</v>
      </c>
      <c r="B11" s="5">
        <v>0</v>
      </c>
      <c r="C11" s="5">
        <v>0</v>
      </c>
    </row>
    <row r="12" spans="1:5" x14ac:dyDescent="0.3">
      <c r="A12" s="4" t="s">
        <v>10</v>
      </c>
      <c r="B12" s="5">
        <v>1</v>
      </c>
      <c r="C12" s="5">
        <v>1</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dimension ref="A1:P24"/>
  <sheetViews>
    <sheetView zoomScale="103" zoomScaleNormal="130" workbookViewId="0">
      <selection activeCell="K11" sqref="K11"/>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103</v>
      </c>
      <c r="B1" s="44"/>
      <c r="C1" s="44"/>
      <c r="D1" s="44"/>
      <c r="E1" s="2"/>
    </row>
    <row r="2" spans="1:5" x14ac:dyDescent="0.3">
      <c r="B2" s="9" t="s">
        <v>1</v>
      </c>
      <c r="C2" s="10" t="s">
        <v>0</v>
      </c>
    </row>
    <row r="3" spans="1:5" ht="15" thickBot="1" x14ac:dyDescent="0.35">
      <c r="B3" s="20">
        <f>SUM(B4,B5,B6,B7,B8,B9,B10,B11,B12,B13,B16,B15,B14)</f>
        <v>236</v>
      </c>
      <c r="C3" s="12">
        <f>SUM(C4,C5,C6,C7,C8,C9,,C10,C11,C12,C13,C16,C15,C14)</f>
        <v>57</v>
      </c>
    </row>
    <row r="4" spans="1:5" s="5" customFormat="1" x14ac:dyDescent="0.3">
      <c r="A4" s="4" t="s">
        <v>2</v>
      </c>
      <c r="B4" s="5">
        <v>31</v>
      </c>
      <c r="C4" s="5">
        <v>12</v>
      </c>
    </row>
    <row r="5" spans="1:5" x14ac:dyDescent="0.3">
      <c r="A5" s="4" t="s">
        <v>3</v>
      </c>
      <c r="B5" s="30">
        <v>47</v>
      </c>
      <c r="C5" s="30">
        <v>9</v>
      </c>
    </row>
    <row r="6" spans="1:5" x14ac:dyDescent="0.3">
      <c r="A6" s="4" t="s">
        <v>4</v>
      </c>
      <c r="B6" s="19">
        <v>54</v>
      </c>
      <c r="C6" s="6">
        <v>17</v>
      </c>
    </row>
    <row r="7" spans="1:5" x14ac:dyDescent="0.3">
      <c r="A7" s="4" t="s">
        <v>5</v>
      </c>
      <c r="B7" s="18">
        <v>90</v>
      </c>
      <c r="C7" s="5">
        <v>15</v>
      </c>
    </row>
    <row r="8" spans="1:5" x14ac:dyDescent="0.3">
      <c r="A8" s="4" t="s">
        <v>6</v>
      </c>
      <c r="B8" s="18">
        <v>0</v>
      </c>
      <c r="C8" s="18">
        <v>0</v>
      </c>
    </row>
    <row r="9" spans="1:5" x14ac:dyDescent="0.3">
      <c r="A9" s="4" t="s">
        <v>7</v>
      </c>
      <c r="B9" s="5">
        <v>0</v>
      </c>
      <c r="C9" s="5">
        <v>0</v>
      </c>
    </row>
    <row r="10" spans="1:5" x14ac:dyDescent="0.3">
      <c r="A10" s="4" t="s">
        <v>8</v>
      </c>
      <c r="B10" s="5">
        <v>13</v>
      </c>
      <c r="C10" s="5">
        <v>3</v>
      </c>
    </row>
    <row r="11" spans="1:5" x14ac:dyDescent="0.3">
      <c r="A11" s="4" t="s">
        <v>9</v>
      </c>
      <c r="B11" s="5">
        <v>0</v>
      </c>
      <c r="C11" s="5">
        <v>0</v>
      </c>
    </row>
    <row r="12" spans="1:5" x14ac:dyDescent="0.3">
      <c r="A12" s="4" t="s">
        <v>10</v>
      </c>
      <c r="B12" s="5">
        <v>1</v>
      </c>
      <c r="C12" s="5">
        <v>1</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dimension ref="A1:P24"/>
  <sheetViews>
    <sheetView zoomScale="103" zoomScaleNormal="130" workbookViewId="0">
      <selection sqref="A1:D1"/>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102</v>
      </c>
      <c r="B1" s="44"/>
      <c r="C1" s="44"/>
      <c r="D1" s="44"/>
      <c r="E1" s="2"/>
    </row>
    <row r="2" spans="1:5" x14ac:dyDescent="0.3">
      <c r="B2" s="9" t="s">
        <v>1</v>
      </c>
      <c r="C2" s="10" t="s">
        <v>0</v>
      </c>
    </row>
    <row r="3" spans="1:5" ht="15" thickBot="1" x14ac:dyDescent="0.35">
      <c r="B3" s="20">
        <f>SUM(B4,B5,B6,B7,B8,B9,B10,B11,B12,B13,B16,B15,B14)</f>
        <v>234</v>
      </c>
      <c r="C3" s="12">
        <f>SUM(C4,C5,C6,C7,C8,C9,,C10,C11,C12,C13,C16,C15,C14)</f>
        <v>54</v>
      </c>
    </row>
    <row r="4" spans="1:5" s="5" customFormat="1" x14ac:dyDescent="0.3">
      <c r="A4" s="4" t="s">
        <v>2</v>
      </c>
      <c r="B4" s="5">
        <v>34</v>
      </c>
      <c r="C4" s="5">
        <v>11</v>
      </c>
    </row>
    <row r="5" spans="1:5" x14ac:dyDescent="0.3">
      <c r="A5" s="4" t="s">
        <v>3</v>
      </c>
      <c r="B5" s="30">
        <v>46</v>
      </c>
      <c r="C5" s="30">
        <v>9</v>
      </c>
    </row>
    <row r="6" spans="1:5" x14ac:dyDescent="0.3">
      <c r="A6" s="4" t="s">
        <v>4</v>
      </c>
      <c r="B6" s="19">
        <v>60</v>
      </c>
      <c r="C6" s="6">
        <v>12</v>
      </c>
    </row>
    <row r="7" spans="1:5" x14ac:dyDescent="0.3">
      <c r="A7" s="4" t="s">
        <v>5</v>
      </c>
      <c r="B7" s="18">
        <v>80</v>
      </c>
      <c r="C7" s="5">
        <v>20</v>
      </c>
    </row>
    <row r="8" spans="1:5" x14ac:dyDescent="0.3">
      <c r="A8" s="4" t="s">
        <v>6</v>
      </c>
      <c r="B8" s="18">
        <v>0</v>
      </c>
      <c r="C8" s="18">
        <v>0</v>
      </c>
    </row>
    <row r="9" spans="1:5" x14ac:dyDescent="0.3">
      <c r="A9" s="4" t="s">
        <v>7</v>
      </c>
      <c r="B9" s="5">
        <v>0</v>
      </c>
      <c r="C9" s="5">
        <v>0</v>
      </c>
    </row>
    <row r="10" spans="1:5" x14ac:dyDescent="0.3">
      <c r="A10" s="4" t="s">
        <v>8</v>
      </c>
      <c r="B10" s="5">
        <v>12</v>
      </c>
      <c r="C10" s="5">
        <v>1</v>
      </c>
    </row>
    <row r="11" spans="1:5" x14ac:dyDescent="0.3">
      <c r="A11" s="4" t="s">
        <v>9</v>
      </c>
      <c r="B11" s="5">
        <v>0</v>
      </c>
      <c r="C11" s="5">
        <v>0</v>
      </c>
    </row>
    <row r="12" spans="1:5" x14ac:dyDescent="0.3">
      <c r="A12" s="4" t="s">
        <v>10</v>
      </c>
      <c r="B12" s="5">
        <v>2</v>
      </c>
      <c r="C12" s="5">
        <v>1</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dimension ref="A1:P24"/>
  <sheetViews>
    <sheetView zoomScale="103" zoomScaleNormal="130" workbookViewId="0">
      <selection activeCell="G18" sqref="G18"/>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101</v>
      </c>
      <c r="B1" s="44"/>
      <c r="C1" s="44"/>
      <c r="D1" s="44"/>
      <c r="E1" s="2"/>
    </row>
    <row r="2" spans="1:5" x14ac:dyDescent="0.3">
      <c r="B2" s="9" t="s">
        <v>1</v>
      </c>
      <c r="C2" s="10" t="s">
        <v>0</v>
      </c>
    </row>
    <row r="3" spans="1:5" ht="15" thickBot="1" x14ac:dyDescent="0.35">
      <c r="B3" s="20">
        <f>SUM(B4,B5,B6,B7,B8,B9,B10,B11,B12,B13,B16,B15,B14)</f>
        <v>247</v>
      </c>
      <c r="C3" s="12">
        <f>SUM(C4,C5,C6,C7,C8,C9,,C10,C11,C12,C13,C16,C15,C14)</f>
        <v>55</v>
      </c>
    </row>
    <row r="4" spans="1:5" s="5" customFormat="1" x14ac:dyDescent="0.3">
      <c r="A4" s="4" t="s">
        <v>2</v>
      </c>
      <c r="B4" s="5">
        <v>31</v>
      </c>
      <c r="C4" s="5">
        <v>10</v>
      </c>
    </row>
    <row r="5" spans="1:5" x14ac:dyDescent="0.3">
      <c r="A5" s="4" t="s">
        <v>3</v>
      </c>
      <c r="B5" s="30">
        <v>50</v>
      </c>
      <c r="C5" s="30">
        <v>10</v>
      </c>
    </row>
    <row r="6" spans="1:5" x14ac:dyDescent="0.3">
      <c r="A6" s="4" t="s">
        <v>4</v>
      </c>
      <c r="B6" s="19">
        <v>60</v>
      </c>
      <c r="C6" s="6">
        <v>13</v>
      </c>
    </row>
    <row r="7" spans="1:5" x14ac:dyDescent="0.3">
      <c r="A7" s="4" t="s">
        <v>5</v>
      </c>
      <c r="B7" s="18">
        <v>89</v>
      </c>
      <c r="C7" s="5">
        <v>20</v>
      </c>
    </row>
    <row r="8" spans="1:5" x14ac:dyDescent="0.3">
      <c r="A8" s="4" t="s">
        <v>6</v>
      </c>
      <c r="B8" s="18">
        <v>0</v>
      </c>
      <c r="C8" s="18">
        <v>0</v>
      </c>
    </row>
    <row r="9" spans="1:5" x14ac:dyDescent="0.3">
      <c r="A9" s="4" t="s">
        <v>7</v>
      </c>
      <c r="B9" s="5">
        <v>0</v>
      </c>
      <c r="C9" s="5">
        <v>0</v>
      </c>
    </row>
    <row r="10" spans="1:5" x14ac:dyDescent="0.3">
      <c r="A10" s="4" t="s">
        <v>8</v>
      </c>
      <c r="B10" s="5">
        <v>14</v>
      </c>
      <c r="C10" s="5">
        <v>1</v>
      </c>
    </row>
    <row r="11" spans="1:5" x14ac:dyDescent="0.3">
      <c r="A11" s="4" t="s">
        <v>9</v>
      </c>
      <c r="B11" s="5">
        <v>0</v>
      </c>
      <c r="C11" s="5">
        <v>0</v>
      </c>
    </row>
    <row r="12" spans="1:5" x14ac:dyDescent="0.3">
      <c r="A12" s="4" t="s">
        <v>10</v>
      </c>
      <c r="B12" s="5">
        <v>3</v>
      </c>
      <c r="C12" s="5">
        <v>1</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dimension ref="A1:P24"/>
  <sheetViews>
    <sheetView zoomScale="103" zoomScaleNormal="130" workbookViewId="0">
      <selection activeCell="D18" sqref="D18"/>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100</v>
      </c>
      <c r="B1" s="44"/>
      <c r="C1" s="44"/>
      <c r="D1" s="44"/>
      <c r="E1" s="2"/>
    </row>
    <row r="2" spans="1:5" x14ac:dyDescent="0.3">
      <c r="B2" s="9" t="s">
        <v>1</v>
      </c>
      <c r="C2" s="10" t="s">
        <v>0</v>
      </c>
    </row>
    <row r="3" spans="1:5" ht="15" thickBot="1" x14ac:dyDescent="0.35">
      <c r="B3" s="20">
        <f>SUM(B4,B5,B6,B7,B8,B9,B10,B11,B12,B13,B16,B15,B14)</f>
        <v>219</v>
      </c>
      <c r="C3" s="12">
        <f>SUM(C4,C5,C6,C7,C8,C9,,C10,C11,C12,C13,C16,C15,C14)</f>
        <v>52</v>
      </c>
    </row>
    <row r="4" spans="1:5" s="5" customFormat="1" x14ac:dyDescent="0.3">
      <c r="A4" s="4" t="s">
        <v>2</v>
      </c>
      <c r="B4" s="5">
        <v>23</v>
      </c>
      <c r="C4" s="5">
        <v>7</v>
      </c>
    </row>
    <row r="5" spans="1:5" x14ac:dyDescent="0.3">
      <c r="A5" s="4" t="s">
        <v>3</v>
      </c>
      <c r="B5" s="30">
        <v>44</v>
      </c>
      <c r="C5" s="30">
        <v>7</v>
      </c>
    </row>
    <row r="6" spans="1:5" x14ac:dyDescent="0.3">
      <c r="A6" s="4" t="s">
        <v>4</v>
      </c>
      <c r="B6" s="19">
        <v>49</v>
      </c>
      <c r="C6" s="6">
        <v>18</v>
      </c>
    </row>
    <row r="7" spans="1:5" x14ac:dyDescent="0.3">
      <c r="A7" s="4" t="s">
        <v>5</v>
      </c>
      <c r="B7" s="18">
        <v>94</v>
      </c>
      <c r="C7" s="5">
        <v>18</v>
      </c>
    </row>
    <row r="8" spans="1:5" x14ac:dyDescent="0.3">
      <c r="A8" s="4" t="s">
        <v>6</v>
      </c>
      <c r="B8" s="18">
        <v>0</v>
      </c>
      <c r="C8" s="18">
        <v>0</v>
      </c>
    </row>
    <row r="9" spans="1:5" x14ac:dyDescent="0.3">
      <c r="A9" s="4" t="s">
        <v>7</v>
      </c>
      <c r="B9" s="5">
        <v>0</v>
      </c>
      <c r="C9" s="5">
        <v>0</v>
      </c>
    </row>
    <row r="10" spans="1:5" x14ac:dyDescent="0.3">
      <c r="A10" s="4" t="s">
        <v>8</v>
      </c>
      <c r="B10" s="5">
        <v>6</v>
      </c>
      <c r="C10" s="5">
        <v>1</v>
      </c>
    </row>
    <row r="11" spans="1:5" x14ac:dyDescent="0.3">
      <c r="A11" s="4" t="s">
        <v>9</v>
      </c>
      <c r="B11" s="5">
        <v>0</v>
      </c>
      <c r="C11" s="5">
        <v>0</v>
      </c>
    </row>
    <row r="12" spans="1:5" x14ac:dyDescent="0.3">
      <c r="A12" s="4" t="s">
        <v>10</v>
      </c>
      <c r="B12" s="5">
        <v>3</v>
      </c>
      <c r="C12" s="5">
        <v>1</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dimension ref="A1:P24"/>
  <sheetViews>
    <sheetView zoomScale="103" zoomScaleNormal="130" workbookViewId="0">
      <selection activeCell="K8" sqref="K8"/>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99</v>
      </c>
      <c r="B1" s="44"/>
      <c r="C1" s="44"/>
      <c r="D1" s="44"/>
      <c r="E1" s="2"/>
    </row>
    <row r="2" spans="1:5" x14ac:dyDescent="0.3">
      <c r="B2" s="9" t="s">
        <v>1</v>
      </c>
      <c r="C2" s="10" t="s">
        <v>0</v>
      </c>
    </row>
    <row r="3" spans="1:5" ht="15" thickBot="1" x14ac:dyDescent="0.35">
      <c r="B3" s="20">
        <f>SUM(B4,B5,B6,B7,B8,B9,B10,B11,B12,B13,B16,B15,B14)</f>
        <v>241</v>
      </c>
      <c r="C3" s="12">
        <f>SUM(C4,C5,C6,C7,C8,C9,,C10,C11,C12,C13,C16,C15,C14)</f>
        <v>50</v>
      </c>
    </row>
    <row r="4" spans="1:5" s="5" customFormat="1" x14ac:dyDescent="0.3">
      <c r="A4" s="4" t="s">
        <v>2</v>
      </c>
      <c r="B4" s="5">
        <v>22</v>
      </c>
      <c r="C4" s="5">
        <v>7</v>
      </c>
    </row>
    <row r="5" spans="1:5" x14ac:dyDescent="0.3">
      <c r="A5" s="4" t="s">
        <v>3</v>
      </c>
      <c r="B5" s="30">
        <v>49</v>
      </c>
      <c r="C5" s="30">
        <v>7</v>
      </c>
    </row>
    <row r="6" spans="1:5" x14ac:dyDescent="0.3">
      <c r="A6" s="4" t="s">
        <v>4</v>
      </c>
      <c r="B6" s="19">
        <v>61</v>
      </c>
      <c r="C6" s="6">
        <v>18</v>
      </c>
    </row>
    <row r="7" spans="1:5" x14ac:dyDescent="0.3">
      <c r="A7" s="4" t="s">
        <v>5</v>
      </c>
      <c r="B7" s="18">
        <v>100</v>
      </c>
      <c r="C7" s="5">
        <v>15</v>
      </c>
    </row>
    <row r="8" spans="1:5" x14ac:dyDescent="0.3">
      <c r="A8" s="4" t="s">
        <v>6</v>
      </c>
      <c r="B8" s="18">
        <v>0</v>
      </c>
      <c r="C8" s="18">
        <v>0</v>
      </c>
    </row>
    <row r="9" spans="1:5" x14ac:dyDescent="0.3">
      <c r="A9" s="4" t="s">
        <v>7</v>
      </c>
      <c r="B9" s="5">
        <v>0</v>
      </c>
      <c r="C9" s="5">
        <v>0</v>
      </c>
    </row>
    <row r="10" spans="1:5" x14ac:dyDescent="0.3">
      <c r="A10" s="4" t="s">
        <v>8</v>
      </c>
      <c r="B10" s="5">
        <v>6</v>
      </c>
      <c r="C10" s="5">
        <v>1</v>
      </c>
    </row>
    <row r="11" spans="1:5" x14ac:dyDescent="0.3">
      <c r="A11" s="4" t="s">
        <v>9</v>
      </c>
      <c r="B11" s="5">
        <v>0</v>
      </c>
      <c r="C11" s="5">
        <v>0</v>
      </c>
    </row>
    <row r="12" spans="1:5" x14ac:dyDescent="0.3">
      <c r="A12" s="4" t="s">
        <v>10</v>
      </c>
      <c r="B12" s="5">
        <v>3</v>
      </c>
      <c r="C12" s="5">
        <v>2</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dimension ref="A1:P24"/>
  <sheetViews>
    <sheetView zoomScale="103" zoomScaleNormal="130" workbookViewId="0">
      <selection activeCell="K4" sqref="K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98</v>
      </c>
      <c r="B1" s="44"/>
      <c r="C1" s="44"/>
      <c r="D1" s="44"/>
      <c r="E1" s="2"/>
    </row>
    <row r="2" spans="1:5" x14ac:dyDescent="0.3">
      <c r="B2" s="9" t="s">
        <v>1</v>
      </c>
      <c r="C2" s="10" t="s">
        <v>0</v>
      </c>
    </row>
    <row r="3" spans="1:5" ht="15" thickBot="1" x14ac:dyDescent="0.35">
      <c r="B3" s="20">
        <f>SUM(B4,B5,B6,B7,B8,B9,B10,B11,B12,B13,B16,B15,B14)</f>
        <v>221</v>
      </c>
      <c r="C3" s="12">
        <f>SUM(C4,C5,C6,C7,C8,C9,,C10,C11,C12,C13,C16,C15,C14)</f>
        <v>45</v>
      </c>
    </row>
    <row r="4" spans="1:5" s="5" customFormat="1" x14ac:dyDescent="0.3">
      <c r="A4" s="4" t="s">
        <v>2</v>
      </c>
      <c r="B4" s="5">
        <v>22</v>
      </c>
      <c r="C4" s="5">
        <v>7</v>
      </c>
    </row>
    <row r="5" spans="1:5" x14ac:dyDescent="0.3">
      <c r="A5" s="4" t="s">
        <v>3</v>
      </c>
      <c r="B5" s="30">
        <v>46</v>
      </c>
      <c r="C5" s="30">
        <v>7</v>
      </c>
    </row>
    <row r="6" spans="1:5" x14ac:dyDescent="0.3">
      <c r="A6" s="4" t="s">
        <v>4</v>
      </c>
      <c r="B6" s="19">
        <v>43</v>
      </c>
      <c r="C6" s="6">
        <v>15</v>
      </c>
    </row>
    <row r="7" spans="1:5" x14ac:dyDescent="0.3">
      <c r="A7" s="4" t="s">
        <v>5</v>
      </c>
      <c r="B7" s="18">
        <v>98</v>
      </c>
      <c r="C7" s="5">
        <v>12</v>
      </c>
    </row>
    <row r="8" spans="1:5" x14ac:dyDescent="0.3">
      <c r="A8" s="4" t="s">
        <v>6</v>
      </c>
      <c r="B8" s="18">
        <v>0</v>
      </c>
      <c r="C8" s="18">
        <v>0</v>
      </c>
    </row>
    <row r="9" spans="1:5" x14ac:dyDescent="0.3">
      <c r="A9" s="4" t="s">
        <v>7</v>
      </c>
      <c r="B9" s="5">
        <v>0</v>
      </c>
      <c r="C9" s="5">
        <v>0</v>
      </c>
    </row>
    <row r="10" spans="1:5" x14ac:dyDescent="0.3">
      <c r="A10" s="4" t="s">
        <v>8</v>
      </c>
      <c r="B10" s="5">
        <v>8</v>
      </c>
      <c r="C10" s="5">
        <v>1</v>
      </c>
    </row>
    <row r="11" spans="1:5" x14ac:dyDescent="0.3">
      <c r="A11" s="4" t="s">
        <v>9</v>
      </c>
      <c r="B11" s="5">
        <v>0</v>
      </c>
      <c r="C11" s="5">
        <v>0</v>
      </c>
    </row>
    <row r="12" spans="1:5" x14ac:dyDescent="0.3">
      <c r="A12" s="4" t="s">
        <v>10</v>
      </c>
      <c r="B12" s="5">
        <v>4</v>
      </c>
      <c r="C12" s="5">
        <v>3</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P26"/>
  <sheetViews>
    <sheetView zoomScaleNormal="100" workbookViewId="0">
      <selection activeCell="K13" sqref="K13"/>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431</v>
      </c>
      <c r="B1" s="44"/>
      <c r="C1" s="44"/>
      <c r="D1" s="44"/>
      <c r="E1" s="2"/>
    </row>
    <row r="2" spans="1:5" x14ac:dyDescent="0.3">
      <c r="B2" s="9" t="s">
        <v>1</v>
      </c>
      <c r="C2" s="10" t="s">
        <v>0</v>
      </c>
    </row>
    <row r="3" spans="1:5" ht="15" thickBot="1" x14ac:dyDescent="0.35">
      <c r="B3" s="20">
        <f>SUM(B4,B5,B6,B7,B8,B9,B10,B11,B12,B13,B16,B15,B14)</f>
        <v>4050</v>
      </c>
      <c r="C3" s="12">
        <f>SUM(C4,C5,C6,C7,C8,C9,,C10,C11,C12,C13,C16,C15,C14)</f>
        <v>386</v>
      </c>
    </row>
    <row r="4" spans="1:5" s="5" customFormat="1" x14ac:dyDescent="0.3">
      <c r="A4" s="4" t="s">
        <v>2</v>
      </c>
      <c r="B4" s="5">
        <v>281</v>
      </c>
      <c r="C4" s="5">
        <v>42</v>
      </c>
    </row>
    <row r="5" spans="1:5" x14ac:dyDescent="0.3">
      <c r="A5" s="4" t="s">
        <v>3</v>
      </c>
      <c r="B5" s="30">
        <v>964</v>
      </c>
      <c r="C5" s="30">
        <v>47</v>
      </c>
      <c r="D5" s="5"/>
    </row>
    <row r="6" spans="1:5" x14ac:dyDescent="0.3">
      <c r="A6" s="4" t="s">
        <v>4</v>
      </c>
      <c r="B6" s="19">
        <v>804</v>
      </c>
      <c r="C6" s="6">
        <v>167</v>
      </c>
      <c r="D6" s="5"/>
    </row>
    <row r="7" spans="1:5" x14ac:dyDescent="0.3">
      <c r="A7" s="4" t="s">
        <v>5</v>
      </c>
      <c r="B7" s="32">
        <v>1275</v>
      </c>
      <c r="C7" s="5">
        <v>62</v>
      </c>
      <c r="D7" s="5"/>
    </row>
    <row r="8" spans="1:5" s="15" customFormat="1" x14ac:dyDescent="0.3">
      <c r="A8" s="14" t="s">
        <v>6</v>
      </c>
      <c r="B8" s="6">
        <v>51</v>
      </c>
      <c r="C8" s="6">
        <v>11</v>
      </c>
      <c r="D8" s="5"/>
    </row>
    <row r="9" spans="1:5" x14ac:dyDescent="0.3">
      <c r="A9" s="4" t="s">
        <v>7</v>
      </c>
      <c r="B9" s="5">
        <v>142</v>
      </c>
      <c r="C9" s="5">
        <v>8</v>
      </c>
      <c r="D9" s="5"/>
    </row>
    <row r="10" spans="1:5" x14ac:dyDescent="0.3">
      <c r="A10" s="4" t="s">
        <v>8</v>
      </c>
      <c r="B10" s="5">
        <v>111</v>
      </c>
      <c r="C10" s="5">
        <v>16</v>
      </c>
      <c r="D10" s="5"/>
    </row>
    <row r="11" spans="1:5" x14ac:dyDescent="0.3">
      <c r="A11" s="4" t="s">
        <v>9</v>
      </c>
      <c r="B11" s="5">
        <v>19</v>
      </c>
      <c r="C11" s="5">
        <v>1</v>
      </c>
      <c r="D11" s="5"/>
    </row>
    <row r="12" spans="1:5" x14ac:dyDescent="0.3">
      <c r="A12" s="4" t="s">
        <v>10</v>
      </c>
      <c r="B12" s="5">
        <v>324</v>
      </c>
      <c r="C12" s="5">
        <v>21</v>
      </c>
      <c r="D12" s="5"/>
    </row>
    <row r="13" spans="1:5" x14ac:dyDescent="0.3">
      <c r="A13" s="4" t="s">
        <v>11</v>
      </c>
      <c r="B13" s="5">
        <v>38</v>
      </c>
      <c r="C13" s="5">
        <v>11</v>
      </c>
      <c r="D13" s="5"/>
    </row>
    <row r="14" spans="1:5" x14ac:dyDescent="0.3">
      <c r="A14" s="4" t="s">
        <v>12</v>
      </c>
      <c r="B14" s="8">
        <v>8</v>
      </c>
      <c r="C14" s="7">
        <v>0</v>
      </c>
      <c r="D14" s="5"/>
    </row>
    <row r="15" spans="1:5" x14ac:dyDescent="0.3">
      <c r="A15" s="4" t="s">
        <v>13</v>
      </c>
      <c r="B15" s="5">
        <v>0</v>
      </c>
      <c r="C15" s="5">
        <v>0</v>
      </c>
      <c r="D15" s="5" t="s">
        <v>231</v>
      </c>
    </row>
    <row r="16" spans="1:5" x14ac:dyDescent="0.3">
      <c r="A16" s="4" t="s">
        <v>14</v>
      </c>
      <c r="B16" s="5">
        <v>33</v>
      </c>
      <c r="C16" s="5">
        <v>0</v>
      </c>
      <c r="D16" s="5"/>
    </row>
    <row r="17" spans="1:9" x14ac:dyDescent="0.3">
      <c r="B17" s="3"/>
    </row>
    <row r="20" spans="1:9" x14ac:dyDescent="0.3">
      <c r="A20" s="1" t="s">
        <v>122</v>
      </c>
    </row>
    <row r="21" spans="1:9" s="3" customFormat="1" x14ac:dyDescent="0.3">
      <c r="A21" s="33" t="s">
        <v>424</v>
      </c>
      <c r="B21" s="8"/>
    </row>
    <row r="22" spans="1:9" s="3" customFormat="1" x14ac:dyDescent="0.3">
      <c r="A22" s="34" t="s">
        <v>425</v>
      </c>
      <c r="B22" s="8"/>
    </row>
    <row r="23" spans="1:9" s="3" customFormat="1" x14ac:dyDescent="0.3">
      <c r="A23" s="35" t="s">
        <v>402</v>
      </c>
      <c r="B23" s="8"/>
    </row>
    <row r="24" spans="1:9" s="3" customFormat="1" x14ac:dyDescent="0.3">
      <c r="A24" s="33" t="s">
        <v>429</v>
      </c>
      <c r="B24" s="8"/>
    </row>
    <row r="25" spans="1:9" s="3" customFormat="1" x14ac:dyDescent="0.3">
      <c r="A25" s="33" t="s">
        <v>432</v>
      </c>
      <c r="B25" s="8"/>
    </row>
    <row r="26" spans="1:9" s="3" customFormat="1" x14ac:dyDescent="0.3">
      <c r="A26" s="36" t="s">
        <v>433</v>
      </c>
      <c r="B26" s="8"/>
      <c r="I26" s="3" t="s">
        <v>414</v>
      </c>
    </row>
  </sheetData>
  <mergeCells count="1">
    <mergeCell ref="A1:D1"/>
  </mergeCells>
  <hyperlinks>
    <hyperlink ref="A21" r:id="rId1" xr:uid="{00000000-0004-0000-0B00-000000000000}"/>
    <hyperlink ref="A22" r:id="rId2" display="**** YT's official website is now informing the number of hospitalizations, which is 2 as of March 7th." xr:uid="{00000000-0004-0000-0B00-000001000000}"/>
    <hyperlink ref="A23" r:id="rId3" xr:uid="{00000000-0004-0000-0B00-000002000000}"/>
    <hyperlink ref="A24" r:id="rId4" xr:uid="{00000000-0004-0000-0B00-000003000000}"/>
    <hyperlink ref="A25" r:id="rId5" xr:uid="{00000000-0004-0000-0B00-000004000000}"/>
    <hyperlink ref="A26" r:id="rId6" display="********MB's information was extracted from a news article dated from March 31st." xr:uid="{00000000-0004-0000-0B00-000005000000}"/>
  </hyperlinks>
  <pageMargins left="0.7" right="0.7" top="0.75" bottom="0.75" header="0.3" footer="0.3"/>
  <pageSetup orientation="portrait" r:id="rId7"/>
  <drawing r:id="rId8"/>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dimension ref="A1:P24"/>
  <sheetViews>
    <sheetView zoomScale="103" zoomScaleNormal="130" workbookViewId="0">
      <selection activeCell="E1" sqref="E1"/>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97</v>
      </c>
      <c r="B1" s="44"/>
      <c r="C1" s="44"/>
      <c r="D1" s="44"/>
      <c r="E1" s="2"/>
    </row>
    <row r="2" spans="1:5" x14ac:dyDescent="0.3">
      <c r="B2" s="9" t="s">
        <v>1</v>
      </c>
      <c r="C2" s="10" t="s">
        <v>0</v>
      </c>
    </row>
    <row r="3" spans="1:5" ht="15" thickBot="1" x14ac:dyDescent="0.35">
      <c r="B3" s="20">
        <f>SUM(B4,B5,B6,B7,B8,B9,B10,B11,B12,B13,B16,B15,B14)</f>
        <v>212</v>
      </c>
      <c r="C3" s="12">
        <f>SUM(C4,C5,C6,C7,C8,C9,,C10,C11,C12,C13,C16,C15,C14)</f>
        <v>44</v>
      </c>
    </row>
    <row r="4" spans="1:5" s="5" customFormat="1" x14ac:dyDescent="0.3">
      <c r="A4" s="4" t="s">
        <v>2</v>
      </c>
      <c r="B4" s="5">
        <v>13</v>
      </c>
      <c r="C4" s="5">
        <v>5</v>
      </c>
    </row>
    <row r="5" spans="1:5" x14ac:dyDescent="0.3">
      <c r="A5" s="4" t="s">
        <v>3</v>
      </c>
      <c r="B5" s="30">
        <v>43</v>
      </c>
      <c r="C5" s="30">
        <v>9</v>
      </c>
    </row>
    <row r="6" spans="1:5" x14ac:dyDescent="0.3">
      <c r="A6" s="4" t="s">
        <v>4</v>
      </c>
      <c r="B6" s="19">
        <v>41</v>
      </c>
      <c r="C6" s="6">
        <v>11</v>
      </c>
    </row>
    <row r="7" spans="1:5" x14ac:dyDescent="0.3">
      <c r="A7" s="4" t="s">
        <v>5</v>
      </c>
      <c r="B7" s="18">
        <v>103</v>
      </c>
      <c r="C7" s="5">
        <v>14</v>
      </c>
    </row>
    <row r="8" spans="1:5" x14ac:dyDescent="0.3">
      <c r="A8" s="4" t="s">
        <v>6</v>
      </c>
      <c r="B8" s="18">
        <v>0</v>
      </c>
      <c r="C8" s="18">
        <v>0</v>
      </c>
    </row>
    <row r="9" spans="1:5" x14ac:dyDescent="0.3">
      <c r="A9" s="4" t="s">
        <v>7</v>
      </c>
      <c r="B9" s="5">
        <v>0</v>
      </c>
      <c r="C9" s="5">
        <v>0</v>
      </c>
    </row>
    <row r="10" spans="1:5" x14ac:dyDescent="0.3">
      <c r="A10" s="4" t="s">
        <v>8</v>
      </c>
      <c r="B10" s="5">
        <v>7</v>
      </c>
      <c r="C10" s="5">
        <v>1</v>
      </c>
    </row>
    <row r="11" spans="1:5" x14ac:dyDescent="0.3">
      <c r="A11" s="4" t="s">
        <v>9</v>
      </c>
      <c r="B11" s="5">
        <v>0</v>
      </c>
      <c r="C11" s="5">
        <v>0</v>
      </c>
    </row>
    <row r="12" spans="1:5" x14ac:dyDescent="0.3">
      <c r="A12" s="4" t="s">
        <v>10</v>
      </c>
      <c r="B12" s="5">
        <v>5</v>
      </c>
      <c r="C12" s="5">
        <v>4</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dimension ref="A1:P24"/>
  <sheetViews>
    <sheetView zoomScale="103" zoomScaleNormal="130" workbookViewId="0">
      <selection activeCell="H20" sqref="H20"/>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96</v>
      </c>
      <c r="B1" s="44"/>
      <c r="C1" s="44"/>
      <c r="D1" s="44"/>
      <c r="E1" s="2"/>
    </row>
    <row r="2" spans="1:5" x14ac:dyDescent="0.3">
      <c r="B2" s="9" t="s">
        <v>1</v>
      </c>
      <c r="C2" s="10" t="s">
        <v>0</v>
      </c>
    </row>
    <row r="3" spans="1:5" ht="15" thickBot="1" x14ac:dyDescent="0.35">
      <c r="B3" s="20">
        <f>SUM(B4,B5,B6,B7,B8,B9,B10,B11,B12,B13,B16,B15,B14)</f>
        <v>224</v>
      </c>
      <c r="C3" s="12">
        <f>SUM(C4,C5,C6,C7,C8,C9,,C10,C11,C12,C13,C16,C15,C14)</f>
        <v>62</v>
      </c>
    </row>
    <row r="4" spans="1:5" s="5" customFormat="1" x14ac:dyDescent="0.3">
      <c r="A4" s="4" t="s">
        <v>2</v>
      </c>
      <c r="B4" s="5">
        <v>11</v>
      </c>
      <c r="C4" s="5">
        <v>4</v>
      </c>
    </row>
    <row r="5" spans="1:5" x14ac:dyDescent="0.3">
      <c r="A5" s="4" t="s">
        <v>3</v>
      </c>
      <c r="B5" s="30">
        <v>43</v>
      </c>
      <c r="C5" s="30">
        <v>12</v>
      </c>
    </row>
    <row r="6" spans="1:5" x14ac:dyDescent="0.3">
      <c r="A6" s="4" t="s">
        <v>4</v>
      </c>
      <c r="B6" s="19">
        <v>35</v>
      </c>
      <c r="C6" s="6">
        <v>15</v>
      </c>
    </row>
    <row r="7" spans="1:5" x14ac:dyDescent="0.3">
      <c r="A7" s="4" t="s">
        <v>5</v>
      </c>
      <c r="B7" s="18">
        <v>121</v>
      </c>
      <c r="C7" s="5">
        <v>25</v>
      </c>
    </row>
    <row r="8" spans="1:5" x14ac:dyDescent="0.3">
      <c r="A8" s="4" t="s">
        <v>6</v>
      </c>
      <c r="B8" s="18">
        <v>1</v>
      </c>
      <c r="C8" s="18">
        <v>0</v>
      </c>
    </row>
    <row r="9" spans="1:5" x14ac:dyDescent="0.3">
      <c r="A9" s="4" t="s">
        <v>7</v>
      </c>
      <c r="B9" s="5">
        <v>0</v>
      </c>
      <c r="C9" s="5">
        <v>0</v>
      </c>
    </row>
    <row r="10" spans="1:5" x14ac:dyDescent="0.3">
      <c r="A10" s="4" t="s">
        <v>8</v>
      </c>
      <c r="B10" s="5">
        <v>8</v>
      </c>
      <c r="C10" s="5">
        <v>2</v>
      </c>
    </row>
    <row r="11" spans="1:5" x14ac:dyDescent="0.3">
      <c r="A11" s="4" t="s">
        <v>9</v>
      </c>
      <c r="B11" s="5">
        <v>0</v>
      </c>
      <c r="C11" s="5">
        <v>0</v>
      </c>
    </row>
    <row r="12" spans="1:5" x14ac:dyDescent="0.3">
      <c r="A12" s="4" t="s">
        <v>10</v>
      </c>
      <c r="B12" s="5">
        <v>5</v>
      </c>
      <c r="C12" s="5">
        <v>4</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dimension ref="A1:P24"/>
  <sheetViews>
    <sheetView zoomScale="103" zoomScaleNormal="130" workbookViewId="0">
      <selection activeCell="A24" sqref="A2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95</v>
      </c>
      <c r="B1" s="44"/>
      <c r="C1" s="44"/>
      <c r="D1" s="44"/>
      <c r="E1" s="2"/>
    </row>
    <row r="2" spans="1:5" x14ac:dyDescent="0.3">
      <c r="B2" s="9" t="s">
        <v>1</v>
      </c>
      <c r="C2" s="10" t="s">
        <v>0</v>
      </c>
    </row>
    <row r="3" spans="1:5" ht="15" thickBot="1" x14ac:dyDescent="0.35">
      <c r="B3" s="20">
        <f>SUM(B4,B5,B6,B7,B8,B9,B10,B11,B12,B13,B16,B15,B14)</f>
        <v>232</v>
      </c>
      <c r="C3" s="12">
        <f>SUM(C4,C5,C6,C7,C8,C9,,C10,C11,C12,C13,C16,C15,C14)</f>
        <v>61</v>
      </c>
    </row>
    <row r="4" spans="1:5" s="5" customFormat="1" x14ac:dyDescent="0.3">
      <c r="A4" s="4" t="s">
        <v>2</v>
      </c>
      <c r="B4" s="5">
        <v>6</v>
      </c>
      <c r="C4" s="5">
        <v>3</v>
      </c>
    </row>
    <row r="5" spans="1:5" x14ac:dyDescent="0.3">
      <c r="A5" s="4" t="s">
        <v>3</v>
      </c>
      <c r="B5" s="30">
        <v>48</v>
      </c>
      <c r="C5" s="30">
        <v>11</v>
      </c>
    </row>
    <row r="6" spans="1:5" x14ac:dyDescent="0.3">
      <c r="A6" s="4" t="s">
        <v>4</v>
      </c>
      <c r="B6" s="19">
        <v>42</v>
      </c>
      <c r="C6" s="6">
        <v>15</v>
      </c>
    </row>
    <row r="7" spans="1:5" x14ac:dyDescent="0.3">
      <c r="A7" s="4" t="s">
        <v>5</v>
      </c>
      <c r="B7" s="18">
        <v>120</v>
      </c>
      <c r="C7" s="5">
        <v>26</v>
      </c>
    </row>
    <row r="8" spans="1:5" x14ac:dyDescent="0.3">
      <c r="A8" s="4" t="s">
        <v>6</v>
      </c>
      <c r="B8" s="18">
        <v>0</v>
      </c>
      <c r="C8" s="18">
        <v>0</v>
      </c>
    </row>
    <row r="9" spans="1:5" x14ac:dyDescent="0.3">
      <c r="A9" s="4" t="s">
        <v>7</v>
      </c>
      <c r="B9" s="5">
        <v>0</v>
      </c>
      <c r="C9" s="5">
        <v>0</v>
      </c>
    </row>
    <row r="10" spans="1:5" x14ac:dyDescent="0.3">
      <c r="A10" s="4" t="s">
        <v>8</v>
      </c>
      <c r="B10" s="5">
        <v>8</v>
      </c>
      <c r="C10" s="5">
        <v>2</v>
      </c>
    </row>
    <row r="11" spans="1:5" x14ac:dyDescent="0.3">
      <c r="A11" s="4" t="s">
        <v>9</v>
      </c>
      <c r="B11" s="5">
        <v>0</v>
      </c>
      <c r="C11" s="5">
        <v>0</v>
      </c>
    </row>
    <row r="12" spans="1:5" x14ac:dyDescent="0.3">
      <c r="A12" s="4" t="s">
        <v>10</v>
      </c>
      <c r="B12" s="5">
        <v>8</v>
      </c>
      <c r="C12" s="5">
        <v>4</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dimension ref="A1:P24"/>
  <sheetViews>
    <sheetView zoomScale="103" zoomScaleNormal="130" workbookViewId="0">
      <selection sqref="A1:D1"/>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94</v>
      </c>
      <c r="B1" s="44"/>
      <c r="C1" s="44"/>
      <c r="D1" s="44"/>
      <c r="E1" s="2"/>
    </row>
    <row r="2" spans="1:5" x14ac:dyDescent="0.3">
      <c r="B2" s="9" t="s">
        <v>1</v>
      </c>
      <c r="C2" s="10" t="s">
        <v>0</v>
      </c>
    </row>
    <row r="3" spans="1:5" ht="15" thickBot="1" x14ac:dyDescent="0.35">
      <c r="B3" s="20">
        <f>SUM(B4,B5,B6,B7,B8,B9,B10,B11,B12,B13,B16,B15,B14)</f>
        <v>238</v>
      </c>
      <c r="C3" s="12">
        <f>SUM(C4,C5,C6,C7,C8,C9,,C10,C11,C12,C13,C16,C15,C14)</f>
        <v>67</v>
      </c>
    </row>
    <row r="4" spans="1:5" s="5" customFormat="1" x14ac:dyDescent="0.3">
      <c r="A4" s="4" t="s">
        <v>2</v>
      </c>
      <c r="B4" s="5">
        <v>12</v>
      </c>
      <c r="C4" s="5">
        <v>4</v>
      </c>
    </row>
    <row r="5" spans="1:5" x14ac:dyDescent="0.3">
      <c r="A5" s="4" t="s">
        <v>3</v>
      </c>
      <c r="B5" s="30">
        <v>48</v>
      </c>
      <c r="C5" s="30">
        <v>13</v>
      </c>
    </row>
    <row r="6" spans="1:5" x14ac:dyDescent="0.3">
      <c r="A6" s="4" t="s">
        <v>4</v>
      </c>
      <c r="B6" s="19">
        <v>37</v>
      </c>
      <c r="C6" s="6">
        <v>18</v>
      </c>
    </row>
    <row r="7" spans="1:5" x14ac:dyDescent="0.3">
      <c r="A7" s="4" t="s">
        <v>5</v>
      </c>
      <c r="B7" s="18">
        <v>124</v>
      </c>
      <c r="C7" s="5">
        <v>25</v>
      </c>
    </row>
    <row r="8" spans="1:5" x14ac:dyDescent="0.3">
      <c r="A8" s="4" t="s">
        <v>6</v>
      </c>
      <c r="B8" s="18">
        <v>0</v>
      </c>
      <c r="C8" s="18">
        <v>0</v>
      </c>
    </row>
    <row r="9" spans="1:5" x14ac:dyDescent="0.3">
      <c r="A9" s="4" t="s">
        <v>7</v>
      </c>
      <c r="B9" s="5">
        <v>0</v>
      </c>
      <c r="C9" s="5">
        <v>0</v>
      </c>
    </row>
    <row r="10" spans="1:5" x14ac:dyDescent="0.3">
      <c r="A10" s="4" t="s">
        <v>8</v>
      </c>
      <c r="B10" s="5">
        <v>9</v>
      </c>
      <c r="C10" s="5">
        <v>3</v>
      </c>
    </row>
    <row r="11" spans="1:5" x14ac:dyDescent="0.3">
      <c r="A11" s="4" t="s">
        <v>9</v>
      </c>
      <c r="B11" s="5">
        <v>0</v>
      </c>
      <c r="C11" s="5">
        <v>0</v>
      </c>
    </row>
    <row r="12" spans="1:5" x14ac:dyDescent="0.3">
      <c r="A12" s="4" t="s">
        <v>10</v>
      </c>
      <c r="B12" s="5">
        <v>8</v>
      </c>
      <c r="C12" s="5">
        <v>4</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dimension ref="A1:P24"/>
  <sheetViews>
    <sheetView zoomScale="103" zoomScaleNormal="130" workbookViewId="0">
      <selection sqref="A1:D1"/>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93</v>
      </c>
      <c r="B1" s="44"/>
      <c r="C1" s="44"/>
      <c r="D1" s="44"/>
      <c r="E1" s="2"/>
    </row>
    <row r="2" spans="1:5" x14ac:dyDescent="0.3">
      <c r="B2" s="9" t="s">
        <v>1</v>
      </c>
      <c r="C2" s="10" t="s">
        <v>0</v>
      </c>
    </row>
    <row r="3" spans="1:5" ht="15" thickBot="1" x14ac:dyDescent="0.35">
      <c r="B3" s="20">
        <f>SUM(B4,B5,B6,B7,B8,B9,B10,B11,B12,B13,B16,B15,B14)</f>
        <v>243</v>
      </c>
      <c r="C3" s="12">
        <f>SUM(C4,C5,C6,C7,C8,C9,,C10,C11,C12,C13,C16,C15,C14)</f>
        <v>66</v>
      </c>
    </row>
    <row r="4" spans="1:5" s="5" customFormat="1" x14ac:dyDescent="0.3">
      <c r="A4" s="4" t="s">
        <v>2</v>
      </c>
      <c r="B4" s="5">
        <v>9</v>
      </c>
      <c r="C4" s="5">
        <v>4</v>
      </c>
    </row>
    <row r="5" spans="1:5" x14ac:dyDescent="0.3">
      <c r="A5" s="4" t="s">
        <v>3</v>
      </c>
      <c r="B5" s="30">
        <v>50</v>
      </c>
      <c r="C5" s="30">
        <v>12</v>
      </c>
    </row>
    <row r="6" spans="1:5" x14ac:dyDescent="0.3">
      <c r="A6" s="4" t="s">
        <v>4</v>
      </c>
      <c r="B6" s="19">
        <v>41</v>
      </c>
      <c r="C6" s="6">
        <v>17</v>
      </c>
    </row>
    <row r="7" spans="1:5" x14ac:dyDescent="0.3">
      <c r="A7" s="4" t="s">
        <v>5</v>
      </c>
      <c r="B7" s="18">
        <v>126</v>
      </c>
      <c r="C7" s="5">
        <v>25</v>
      </c>
    </row>
    <row r="8" spans="1:5" x14ac:dyDescent="0.3">
      <c r="A8" s="4" t="s">
        <v>6</v>
      </c>
      <c r="B8" s="18">
        <v>0</v>
      </c>
      <c r="C8" s="18">
        <v>0</v>
      </c>
    </row>
    <row r="9" spans="1:5" x14ac:dyDescent="0.3">
      <c r="A9" s="4" t="s">
        <v>7</v>
      </c>
      <c r="B9" s="5">
        <v>0</v>
      </c>
      <c r="C9" s="5">
        <v>0</v>
      </c>
    </row>
    <row r="10" spans="1:5" x14ac:dyDescent="0.3">
      <c r="A10" s="4" t="s">
        <v>8</v>
      </c>
      <c r="B10" s="5">
        <v>7</v>
      </c>
      <c r="C10" s="5">
        <v>3</v>
      </c>
    </row>
    <row r="11" spans="1:5" x14ac:dyDescent="0.3">
      <c r="A11" s="4" t="s">
        <v>9</v>
      </c>
      <c r="B11" s="5">
        <v>0</v>
      </c>
      <c r="C11" s="5">
        <v>0</v>
      </c>
    </row>
    <row r="12" spans="1:5" x14ac:dyDescent="0.3">
      <c r="A12" s="4" t="s">
        <v>10</v>
      </c>
      <c r="B12" s="5">
        <v>10</v>
      </c>
      <c r="C12" s="5">
        <v>5</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dimension ref="A1:P24"/>
  <sheetViews>
    <sheetView zoomScale="103" zoomScaleNormal="130" workbookViewId="0">
      <selection activeCell="A20" sqref="A20"/>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92</v>
      </c>
      <c r="B1" s="44"/>
      <c r="C1" s="44"/>
      <c r="D1" s="44"/>
      <c r="E1" s="2"/>
    </row>
    <row r="2" spans="1:5" x14ac:dyDescent="0.3">
      <c r="B2" s="9" t="s">
        <v>1</v>
      </c>
      <c r="C2" s="10" t="s">
        <v>0</v>
      </c>
    </row>
    <row r="3" spans="1:5" ht="15" thickBot="1" x14ac:dyDescent="0.35">
      <c r="B3" s="20">
        <f>SUM(B4,B5,B6,B7,B8,B9,B10,B11,B12,B13,B16,B15,B14)</f>
        <v>266</v>
      </c>
      <c r="C3" s="12">
        <f>SUM(C4,C5,C6,C7,C8,C9,,C10,C11,C12,C13,C16,C15,C14)</f>
        <v>67</v>
      </c>
    </row>
    <row r="4" spans="1:5" s="5" customFormat="1" x14ac:dyDescent="0.3">
      <c r="A4" s="4" t="s">
        <v>2</v>
      </c>
      <c r="B4" s="5">
        <v>8</v>
      </c>
      <c r="C4" s="5">
        <v>5</v>
      </c>
    </row>
    <row r="5" spans="1:5" x14ac:dyDescent="0.3">
      <c r="A5" s="4" t="s">
        <v>3</v>
      </c>
      <c r="B5" s="30">
        <v>62</v>
      </c>
      <c r="C5" s="30">
        <v>14</v>
      </c>
    </row>
    <row r="6" spans="1:5" x14ac:dyDescent="0.3">
      <c r="A6" s="4" t="s">
        <v>4</v>
      </c>
      <c r="B6" s="19">
        <v>49</v>
      </c>
      <c r="C6" s="6">
        <v>20</v>
      </c>
    </row>
    <row r="7" spans="1:5" x14ac:dyDescent="0.3">
      <c r="A7" s="4" t="s">
        <v>5</v>
      </c>
      <c r="B7" s="18">
        <v>131</v>
      </c>
      <c r="C7" s="5">
        <v>20</v>
      </c>
    </row>
    <row r="8" spans="1:5" x14ac:dyDescent="0.3">
      <c r="A8" s="4" t="s">
        <v>6</v>
      </c>
      <c r="B8" s="18">
        <v>0</v>
      </c>
      <c r="C8" s="18">
        <v>0</v>
      </c>
    </row>
    <row r="9" spans="1:5" x14ac:dyDescent="0.3">
      <c r="A9" s="4" t="s">
        <v>7</v>
      </c>
      <c r="B9" s="5">
        <v>0</v>
      </c>
      <c r="C9" s="5">
        <v>0</v>
      </c>
    </row>
    <row r="10" spans="1:5" x14ac:dyDescent="0.3">
      <c r="A10" s="4" t="s">
        <v>8</v>
      </c>
      <c r="B10" s="5">
        <v>5</v>
      </c>
      <c r="C10" s="5">
        <v>3</v>
      </c>
    </row>
    <row r="11" spans="1:5" x14ac:dyDescent="0.3">
      <c r="A11" s="4" t="s">
        <v>9</v>
      </c>
      <c r="B11" s="5">
        <v>0</v>
      </c>
      <c r="C11" s="5">
        <v>0</v>
      </c>
    </row>
    <row r="12" spans="1:5" x14ac:dyDescent="0.3">
      <c r="A12" s="4" t="s">
        <v>10</v>
      </c>
      <c r="B12" s="5">
        <v>11</v>
      </c>
      <c r="C12" s="5">
        <v>5</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dimension ref="A1:P24"/>
  <sheetViews>
    <sheetView zoomScale="103" zoomScaleNormal="130" workbookViewId="0">
      <selection activeCell="A28" sqref="A28"/>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91</v>
      </c>
      <c r="B1" s="44"/>
      <c r="C1" s="44"/>
      <c r="D1" s="44"/>
      <c r="E1" s="2"/>
    </row>
    <row r="2" spans="1:5" x14ac:dyDescent="0.3">
      <c r="B2" s="9" t="s">
        <v>1</v>
      </c>
      <c r="C2" s="10" t="s">
        <v>0</v>
      </c>
    </row>
    <row r="3" spans="1:5" ht="15" thickBot="1" x14ac:dyDescent="0.35">
      <c r="B3" s="20">
        <f>SUM(B4,B5,B6,B7,B8,B9,B10,B11,B12,B13,B16,B15,B14)</f>
        <v>281</v>
      </c>
      <c r="C3" s="12">
        <f>SUM(C4,C5,C6,C7,C8,C9,,C10,C11,C12,C13,C16,C15,C14)</f>
        <v>78</v>
      </c>
    </row>
    <row r="4" spans="1:5" s="5" customFormat="1" x14ac:dyDescent="0.3">
      <c r="A4" s="4" t="s">
        <v>2</v>
      </c>
      <c r="B4" s="5">
        <v>11</v>
      </c>
      <c r="C4" s="5">
        <v>4</v>
      </c>
    </row>
    <row r="5" spans="1:5" x14ac:dyDescent="0.3">
      <c r="A5" s="4" t="s">
        <v>3</v>
      </c>
      <c r="B5" s="30">
        <v>68</v>
      </c>
      <c r="C5" s="30">
        <v>18</v>
      </c>
    </row>
    <row r="6" spans="1:5" x14ac:dyDescent="0.3">
      <c r="A6" s="4" t="s">
        <v>4</v>
      </c>
      <c r="B6" s="19">
        <v>49</v>
      </c>
      <c r="C6" s="6">
        <v>25</v>
      </c>
    </row>
    <row r="7" spans="1:5" x14ac:dyDescent="0.3">
      <c r="A7" s="4" t="s">
        <v>5</v>
      </c>
      <c r="B7" s="18">
        <v>134</v>
      </c>
      <c r="C7" s="5">
        <v>22</v>
      </c>
    </row>
    <row r="8" spans="1:5" x14ac:dyDescent="0.3">
      <c r="A8" s="4" t="s">
        <v>6</v>
      </c>
      <c r="B8" s="18">
        <v>0</v>
      </c>
      <c r="C8" s="18">
        <v>0</v>
      </c>
    </row>
    <row r="9" spans="1:5" x14ac:dyDescent="0.3">
      <c r="A9" s="4" t="s">
        <v>7</v>
      </c>
      <c r="B9" s="5">
        <v>0</v>
      </c>
      <c r="C9" s="5">
        <v>0</v>
      </c>
    </row>
    <row r="10" spans="1:5" x14ac:dyDescent="0.3">
      <c r="A10" s="4" t="s">
        <v>8</v>
      </c>
      <c r="B10" s="5">
        <v>6</v>
      </c>
      <c r="C10" s="5">
        <v>3</v>
      </c>
    </row>
    <row r="11" spans="1:5" x14ac:dyDescent="0.3">
      <c r="A11" s="4" t="s">
        <v>9</v>
      </c>
      <c r="B11" s="5">
        <v>0</v>
      </c>
      <c r="C11" s="5">
        <v>0</v>
      </c>
    </row>
    <row r="12" spans="1:5" x14ac:dyDescent="0.3">
      <c r="A12" s="4" t="s">
        <v>10</v>
      </c>
      <c r="B12" s="5">
        <v>13</v>
      </c>
      <c r="C12" s="5">
        <v>6</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dimension ref="A1:P24"/>
  <sheetViews>
    <sheetView zoomScale="103" zoomScaleNormal="130" workbookViewId="0">
      <selection activeCell="D23" sqref="D23"/>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90</v>
      </c>
      <c r="B1" s="44"/>
      <c r="C1" s="44"/>
      <c r="D1" s="44"/>
      <c r="E1" s="2"/>
    </row>
    <row r="2" spans="1:5" x14ac:dyDescent="0.3">
      <c r="B2" s="9" t="s">
        <v>1</v>
      </c>
      <c r="C2" s="10" t="s">
        <v>0</v>
      </c>
    </row>
    <row r="3" spans="1:5" ht="15" thickBot="1" x14ac:dyDescent="0.35">
      <c r="B3" s="20">
        <f>SUM(B4,B5,B6,B7,B8,B9,B10,B11,B12,B13,B16,B15,B14)</f>
        <v>314</v>
      </c>
      <c r="C3" s="12">
        <f>SUM(C4,C5,C6,C7,C8,C9,,C10,C11,C12,C13,C16,C15,C14)</f>
        <v>83</v>
      </c>
    </row>
    <row r="4" spans="1:5" s="5" customFormat="1" x14ac:dyDescent="0.3">
      <c r="A4" s="4" t="s">
        <v>2</v>
      </c>
      <c r="B4" s="5">
        <v>11</v>
      </c>
      <c r="C4" s="5">
        <v>5</v>
      </c>
    </row>
    <row r="5" spans="1:5" x14ac:dyDescent="0.3">
      <c r="A5" s="4" t="s">
        <v>3</v>
      </c>
      <c r="B5" s="30">
        <v>76</v>
      </c>
      <c r="C5" s="30">
        <v>19</v>
      </c>
    </row>
    <row r="6" spans="1:5" x14ac:dyDescent="0.3">
      <c r="A6" s="4" t="s">
        <v>4</v>
      </c>
      <c r="B6" s="19">
        <v>71</v>
      </c>
      <c r="C6" s="6">
        <v>29</v>
      </c>
    </row>
    <row r="7" spans="1:5" x14ac:dyDescent="0.3">
      <c r="A7" s="4" t="s">
        <v>5</v>
      </c>
      <c r="B7" s="18">
        <v>133</v>
      </c>
      <c r="C7" s="5">
        <v>19</v>
      </c>
    </row>
    <row r="8" spans="1:5" x14ac:dyDescent="0.3">
      <c r="A8" s="4" t="s">
        <v>6</v>
      </c>
      <c r="B8" s="18">
        <v>0</v>
      </c>
      <c r="C8" s="18">
        <v>0</v>
      </c>
    </row>
    <row r="9" spans="1:5" x14ac:dyDescent="0.3">
      <c r="A9" s="4" t="s">
        <v>7</v>
      </c>
      <c r="B9" s="5">
        <v>0</v>
      </c>
      <c r="C9" s="5">
        <v>0</v>
      </c>
    </row>
    <row r="10" spans="1:5" x14ac:dyDescent="0.3">
      <c r="A10" s="4" t="s">
        <v>8</v>
      </c>
      <c r="B10" s="5">
        <v>10</v>
      </c>
      <c r="C10" s="5">
        <v>5</v>
      </c>
    </row>
    <row r="11" spans="1:5" x14ac:dyDescent="0.3">
      <c r="A11" s="4" t="s">
        <v>9</v>
      </c>
      <c r="B11" s="5">
        <v>0</v>
      </c>
      <c r="C11" s="5">
        <v>0</v>
      </c>
    </row>
    <row r="12" spans="1:5" x14ac:dyDescent="0.3">
      <c r="A12" s="4" t="s">
        <v>10</v>
      </c>
      <c r="B12" s="5">
        <v>13</v>
      </c>
      <c r="C12" s="5">
        <v>6</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dimension ref="A1:P24"/>
  <sheetViews>
    <sheetView zoomScale="103" zoomScaleNormal="130" workbookViewId="0">
      <selection activeCell="A23" sqref="A23"/>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89</v>
      </c>
      <c r="B1" s="44"/>
      <c r="C1" s="44"/>
      <c r="D1" s="44"/>
      <c r="E1" s="2"/>
    </row>
    <row r="2" spans="1:5" x14ac:dyDescent="0.3">
      <c r="B2" s="9" t="s">
        <v>1</v>
      </c>
      <c r="C2" s="10" t="s">
        <v>0</v>
      </c>
    </row>
    <row r="3" spans="1:5" ht="15" thickBot="1" x14ac:dyDescent="0.35">
      <c r="B3" s="20">
        <f>SUM(B4,B5,B6,B7,B8,B9,B10,B11,B12,B13,B16,B15,B14)</f>
        <v>330</v>
      </c>
      <c r="C3" s="12">
        <f>SUM(C4,C5,C6,C7,C8,C9,,C10,C11,C12,C13,C16,C15,C14)</f>
        <v>87</v>
      </c>
    </row>
    <row r="4" spans="1:5" s="5" customFormat="1" x14ac:dyDescent="0.3">
      <c r="A4" s="4" t="s">
        <v>2</v>
      </c>
      <c r="B4" s="5">
        <v>8</v>
      </c>
      <c r="C4" s="5">
        <v>4</v>
      </c>
    </row>
    <row r="5" spans="1:5" x14ac:dyDescent="0.3">
      <c r="A5" s="4" t="s">
        <v>3</v>
      </c>
      <c r="B5" s="30">
        <v>85</v>
      </c>
      <c r="C5" s="30">
        <v>23</v>
      </c>
    </row>
    <row r="6" spans="1:5" x14ac:dyDescent="0.3">
      <c r="A6" s="4" t="s">
        <v>4</v>
      </c>
      <c r="B6" s="19">
        <v>66</v>
      </c>
      <c r="C6" s="6">
        <v>30</v>
      </c>
    </row>
    <row r="7" spans="1:5" x14ac:dyDescent="0.3">
      <c r="A7" s="4" t="s">
        <v>5</v>
      </c>
      <c r="B7" s="18">
        <v>148</v>
      </c>
      <c r="C7" s="5">
        <v>19</v>
      </c>
    </row>
    <row r="8" spans="1:5" x14ac:dyDescent="0.3">
      <c r="A8" s="4" t="s">
        <v>6</v>
      </c>
      <c r="B8" s="18">
        <v>0</v>
      </c>
      <c r="C8" s="18">
        <v>0</v>
      </c>
    </row>
    <row r="9" spans="1:5" x14ac:dyDescent="0.3">
      <c r="A9" s="4" t="s">
        <v>7</v>
      </c>
      <c r="B9" s="5">
        <v>0</v>
      </c>
      <c r="C9" s="5">
        <v>0</v>
      </c>
    </row>
    <row r="10" spans="1:5" x14ac:dyDescent="0.3">
      <c r="A10" s="4" t="s">
        <v>8</v>
      </c>
      <c r="B10" s="5">
        <v>9</v>
      </c>
      <c r="C10" s="5">
        <v>4</v>
      </c>
    </row>
    <row r="11" spans="1:5" x14ac:dyDescent="0.3">
      <c r="A11" s="4" t="s">
        <v>9</v>
      </c>
      <c r="B11" s="5">
        <v>0</v>
      </c>
      <c r="C11" s="5">
        <v>0</v>
      </c>
    </row>
    <row r="12" spans="1:5" x14ac:dyDescent="0.3">
      <c r="A12" s="4" t="s">
        <v>10</v>
      </c>
      <c r="B12" s="5">
        <v>14</v>
      </c>
      <c r="C12" s="5">
        <v>7</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dimension ref="A1:P24"/>
  <sheetViews>
    <sheetView zoomScale="103" zoomScaleNormal="130" workbookViewId="0">
      <selection activeCell="A24" sqref="A2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88</v>
      </c>
      <c r="B1" s="44"/>
      <c r="C1" s="44"/>
      <c r="D1" s="44"/>
      <c r="E1" s="2"/>
    </row>
    <row r="2" spans="1:5" x14ac:dyDescent="0.3">
      <c r="B2" s="9" t="s">
        <v>1</v>
      </c>
      <c r="C2" s="10" t="s">
        <v>0</v>
      </c>
    </row>
    <row r="3" spans="1:5" ht="15" thickBot="1" x14ac:dyDescent="0.35">
      <c r="B3" s="20">
        <f>SUM(B4,B5,B6,B7,B8,B9,B10,B11,B12,B13,B16,B15,B14)</f>
        <v>341</v>
      </c>
      <c r="C3" s="12">
        <f>SUM(C4,C5,C6,C7,C8,C9,,C10,C11,C12,C13,C16,C15,C14)</f>
        <v>78</v>
      </c>
    </row>
    <row r="4" spans="1:5" s="5" customFormat="1" x14ac:dyDescent="0.3">
      <c r="A4" s="4" t="s">
        <v>2</v>
      </c>
      <c r="B4" s="5">
        <v>5</v>
      </c>
      <c r="C4" s="5">
        <v>2</v>
      </c>
    </row>
    <row r="5" spans="1:5" x14ac:dyDescent="0.3">
      <c r="A5" s="4" t="s">
        <v>3</v>
      </c>
      <c r="B5" s="30">
        <v>86</v>
      </c>
      <c r="C5" s="30">
        <v>17</v>
      </c>
    </row>
    <row r="6" spans="1:5" x14ac:dyDescent="0.3">
      <c r="A6" s="4" t="s">
        <v>4</v>
      </c>
      <c r="B6" s="19">
        <v>78</v>
      </c>
      <c r="C6" s="6">
        <v>28</v>
      </c>
    </row>
    <row r="7" spans="1:5" x14ac:dyDescent="0.3">
      <c r="A7" s="4" t="s">
        <v>5</v>
      </c>
      <c r="B7" s="18">
        <v>148</v>
      </c>
      <c r="C7" s="5">
        <v>21</v>
      </c>
    </row>
    <row r="8" spans="1:5" x14ac:dyDescent="0.3">
      <c r="A8" s="4" t="s">
        <v>6</v>
      </c>
      <c r="B8" s="18">
        <v>0</v>
      </c>
      <c r="C8" s="18">
        <v>0</v>
      </c>
    </row>
    <row r="9" spans="1:5" x14ac:dyDescent="0.3">
      <c r="A9" s="4" t="s">
        <v>7</v>
      </c>
      <c r="B9" s="5">
        <v>0</v>
      </c>
      <c r="C9" s="5">
        <v>0</v>
      </c>
    </row>
    <row r="10" spans="1:5" x14ac:dyDescent="0.3">
      <c r="A10" s="4" t="s">
        <v>8</v>
      </c>
      <c r="B10" s="5">
        <v>9</v>
      </c>
      <c r="C10" s="5">
        <v>4</v>
      </c>
    </row>
    <row r="11" spans="1:5" x14ac:dyDescent="0.3">
      <c r="A11" s="4" t="s">
        <v>9</v>
      </c>
      <c r="B11" s="5">
        <v>0</v>
      </c>
      <c r="C11" s="5">
        <v>0</v>
      </c>
    </row>
    <row r="12" spans="1:5" x14ac:dyDescent="0.3">
      <c r="A12" s="4" t="s">
        <v>10</v>
      </c>
      <c r="B12" s="5">
        <v>15</v>
      </c>
      <c r="C12" s="5">
        <v>6</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27"/>
  <sheetViews>
    <sheetView zoomScaleNormal="100" workbookViewId="0">
      <selection activeCell="A27" sqref="A27"/>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428</v>
      </c>
      <c r="B1" s="44"/>
      <c r="C1" s="44"/>
      <c r="D1" s="44"/>
      <c r="E1" s="2"/>
    </row>
    <row r="2" spans="1:5" x14ac:dyDescent="0.3">
      <c r="B2" s="9" t="s">
        <v>1</v>
      </c>
      <c r="C2" s="10" t="s">
        <v>0</v>
      </c>
    </row>
    <row r="3" spans="1:5" ht="15" thickBot="1" x14ac:dyDescent="0.35">
      <c r="B3" s="20">
        <f>SUM(B4,B5,B6,B7,B8,B9,B10,B11,B12,B13,B16,B15,B14)</f>
        <v>3973</v>
      </c>
      <c r="C3" s="12">
        <f>SUM(C4,C5,C6,C7,C8,C9,,C10,C11,C12,C13,C16,C15,C14)</f>
        <v>382</v>
      </c>
    </row>
    <row r="4" spans="1:5" s="5" customFormat="1" x14ac:dyDescent="0.3">
      <c r="A4" s="4" t="s">
        <v>2</v>
      </c>
      <c r="B4" s="5">
        <v>273</v>
      </c>
      <c r="C4" s="5">
        <v>46</v>
      </c>
    </row>
    <row r="5" spans="1:5" x14ac:dyDescent="0.3">
      <c r="A5" s="4" t="s">
        <v>3</v>
      </c>
      <c r="B5" s="30">
        <v>964</v>
      </c>
      <c r="C5" s="30">
        <v>47</v>
      </c>
      <c r="D5" s="5"/>
    </row>
    <row r="6" spans="1:5" x14ac:dyDescent="0.3">
      <c r="A6" s="4" t="s">
        <v>4</v>
      </c>
      <c r="B6" s="19">
        <v>778</v>
      </c>
      <c r="C6" s="6">
        <v>165</v>
      </c>
      <c r="D6" s="5"/>
    </row>
    <row r="7" spans="1:5" x14ac:dyDescent="0.3">
      <c r="A7" s="4" t="s">
        <v>5</v>
      </c>
      <c r="B7" s="32">
        <v>1200</v>
      </c>
      <c r="C7" s="5">
        <v>60</v>
      </c>
      <c r="D7" s="5"/>
    </row>
    <row r="8" spans="1:5" s="15" customFormat="1" x14ac:dyDescent="0.3">
      <c r="A8" s="14" t="s">
        <v>6</v>
      </c>
      <c r="B8" s="6">
        <v>45</v>
      </c>
      <c r="C8" s="6">
        <v>11</v>
      </c>
      <c r="D8" s="5"/>
    </row>
    <row r="9" spans="1:5" x14ac:dyDescent="0.3">
      <c r="A9" s="4" t="s">
        <v>7</v>
      </c>
      <c r="B9" s="5">
        <v>142</v>
      </c>
      <c r="C9" s="5">
        <v>8</v>
      </c>
      <c r="D9" s="5"/>
    </row>
    <row r="10" spans="1:5" x14ac:dyDescent="0.3">
      <c r="A10" s="4" t="s">
        <v>8</v>
      </c>
      <c r="B10" s="5">
        <v>165</v>
      </c>
      <c r="C10" s="5">
        <v>14</v>
      </c>
      <c r="D10" s="5"/>
    </row>
    <row r="11" spans="1:5" x14ac:dyDescent="0.3">
      <c r="A11" s="4" t="s">
        <v>9</v>
      </c>
      <c r="B11" s="5">
        <v>19</v>
      </c>
      <c r="C11" s="5">
        <v>1</v>
      </c>
      <c r="D11" s="5"/>
    </row>
    <row r="12" spans="1:5" x14ac:dyDescent="0.3">
      <c r="A12" s="4" t="s">
        <v>10</v>
      </c>
      <c r="B12" s="5">
        <v>306</v>
      </c>
      <c r="C12" s="5">
        <v>19</v>
      </c>
      <c r="D12" s="5"/>
    </row>
    <row r="13" spans="1:5" x14ac:dyDescent="0.3">
      <c r="A13" s="4" t="s">
        <v>11</v>
      </c>
      <c r="B13" s="5">
        <v>40</v>
      </c>
      <c r="C13" s="5">
        <v>11</v>
      </c>
      <c r="D13" s="5"/>
    </row>
    <row r="14" spans="1:5" x14ac:dyDescent="0.3">
      <c r="A14" s="4" t="s">
        <v>12</v>
      </c>
      <c r="B14" s="8">
        <v>8</v>
      </c>
      <c r="C14" s="7">
        <v>0</v>
      </c>
      <c r="D14" s="5"/>
    </row>
    <row r="15" spans="1:5" x14ac:dyDescent="0.3">
      <c r="A15" s="4" t="s">
        <v>13</v>
      </c>
      <c r="B15" s="5">
        <v>0</v>
      </c>
      <c r="C15" s="5">
        <v>0</v>
      </c>
      <c r="D15" s="5" t="s">
        <v>231</v>
      </c>
    </row>
    <row r="16" spans="1:5" x14ac:dyDescent="0.3">
      <c r="A16" s="4" t="s">
        <v>14</v>
      </c>
      <c r="B16" s="5">
        <v>33</v>
      </c>
      <c r="C16" s="5">
        <v>0</v>
      </c>
      <c r="D16" s="5"/>
    </row>
    <row r="17" spans="1:9" x14ac:dyDescent="0.3">
      <c r="B17" s="3"/>
    </row>
    <row r="20" spans="1:9" x14ac:dyDescent="0.3">
      <c r="A20" s="1" t="s">
        <v>122</v>
      </c>
    </row>
    <row r="21" spans="1:9" s="3" customFormat="1" x14ac:dyDescent="0.3">
      <c r="A21" s="33" t="s">
        <v>424</v>
      </c>
      <c r="B21" s="8"/>
    </row>
    <row r="22" spans="1:9" s="3" customFormat="1" x14ac:dyDescent="0.3">
      <c r="A22" s="34" t="s">
        <v>425</v>
      </c>
      <c r="B22" s="8"/>
    </row>
    <row r="23" spans="1:9" s="3" customFormat="1" x14ac:dyDescent="0.3">
      <c r="A23" s="35" t="s">
        <v>402</v>
      </c>
      <c r="B23" s="8"/>
    </row>
    <row r="24" spans="1:9" s="3" customFormat="1" x14ac:dyDescent="0.3">
      <c r="A24" s="33" t="s">
        <v>429</v>
      </c>
      <c r="B24" s="8"/>
    </row>
    <row r="25" spans="1:9" s="3" customFormat="1" x14ac:dyDescent="0.3">
      <c r="A25" s="33" t="s">
        <v>430</v>
      </c>
      <c r="B25" s="8"/>
    </row>
    <row r="26" spans="1:9" s="3" customFormat="1" x14ac:dyDescent="0.3">
      <c r="A26" s="33" t="s">
        <v>426</v>
      </c>
      <c r="B26" s="8"/>
    </row>
    <row r="27" spans="1:9" s="3" customFormat="1" x14ac:dyDescent="0.3">
      <c r="A27" s="36" t="s">
        <v>427</v>
      </c>
      <c r="B27" s="8"/>
      <c r="I27" s="3" t="s">
        <v>414</v>
      </c>
    </row>
  </sheetData>
  <mergeCells count="1">
    <mergeCell ref="A1:D1"/>
  </mergeCells>
  <hyperlinks>
    <hyperlink ref="A21" r:id="rId1" xr:uid="{00000000-0004-0000-0C00-000000000000}"/>
    <hyperlink ref="A22" r:id="rId2" display="**** YT's official website is now informing the number of hospitalizations, which is 2 as of March 7th." xr:uid="{00000000-0004-0000-0C00-000001000000}"/>
    <hyperlink ref="A23" r:id="rId3" xr:uid="{00000000-0004-0000-0C00-000002000000}"/>
    <hyperlink ref="A24" r:id="rId4" xr:uid="{00000000-0004-0000-0C00-000003000000}"/>
    <hyperlink ref="A25" r:id="rId5" xr:uid="{00000000-0004-0000-0C00-000004000000}"/>
    <hyperlink ref="A26" r:id="rId6" xr:uid="{00000000-0004-0000-0C00-000005000000}"/>
    <hyperlink ref="A27" r:id="rId7" xr:uid="{00000000-0004-0000-0C00-000006000000}"/>
  </hyperlinks>
  <pageMargins left="0.7" right="0.7" top="0.75" bottom="0.75" header="0.3" footer="0.3"/>
  <pageSetup orientation="portrait" r:id="rId8"/>
  <drawing r:id="rId9"/>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dimension ref="A1:P24"/>
  <sheetViews>
    <sheetView zoomScale="103" zoomScaleNormal="130" workbookViewId="0">
      <selection activeCell="A24" sqref="A2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87</v>
      </c>
      <c r="B1" s="44"/>
      <c r="C1" s="44"/>
      <c r="D1" s="44"/>
      <c r="E1" s="2"/>
    </row>
    <row r="2" spans="1:5" x14ac:dyDescent="0.3">
      <c r="B2" s="9" t="s">
        <v>1</v>
      </c>
      <c r="C2" s="10" t="s">
        <v>0</v>
      </c>
    </row>
    <row r="3" spans="1:5" ht="15" thickBot="1" x14ac:dyDescent="0.35">
      <c r="B3" s="20">
        <f>SUM(B4,B5,B6,B7,B8,B9,B10,B11,B12,B13,B16,B15,B14)</f>
        <v>385</v>
      </c>
      <c r="C3" s="12">
        <f>SUM(C4,C5,C6,C7,C8,C9,,C10,C11,C12,C13,C16,C15,C14)</f>
        <v>63</v>
      </c>
    </row>
    <row r="4" spans="1:5" s="5" customFormat="1" x14ac:dyDescent="0.3">
      <c r="A4" s="4" t="s">
        <v>2</v>
      </c>
      <c r="B4" s="5">
        <v>9</v>
      </c>
      <c r="C4" s="5">
        <v>3</v>
      </c>
    </row>
    <row r="5" spans="1:5" x14ac:dyDescent="0.3">
      <c r="A5" s="4" t="s">
        <v>3</v>
      </c>
      <c r="B5" s="30">
        <v>88</v>
      </c>
      <c r="C5" s="30">
        <v>16</v>
      </c>
    </row>
    <row r="6" spans="1:5" x14ac:dyDescent="0.3">
      <c r="A6" s="4" t="s">
        <v>4</v>
      </c>
      <c r="B6" s="19">
        <v>91</v>
      </c>
      <c r="C6" s="6">
        <v>28</v>
      </c>
    </row>
    <row r="7" spans="1:5" x14ac:dyDescent="0.3">
      <c r="A7" s="4" t="s">
        <v>5</v>
      </c>
      <c r="B7" s="18">
        <v>181</v>
      </c>
      <c r="C7" s="5">
        <v>9</v>
      </c>
    </row>
    <row r="8" spans="1:5" x14ac:dyDescent="0.3">
      <c r="A8" s="4" t="s">
        <v>6</v>
      </c>
      <c r="B8" s="18">
        <v>0</v>
      </c>
      <c r="C8" s="18">
        <v>0</v>
      </c>
    </row>
    <row r="9" spans="1:5" x14ac:dyDescent="0.3">
      <c r="A9" s="4" t="s">
        <v>7</v>
      </c>
      <c r="B9" s="5">
        <v>0</v>
      </c>
      <c r="C9" s="5">
        <v>0</v>
      </c>
    </row>
    <row r="10" spans="1:5" x14ac:dyDescent="0.3">
      <c r="A10" s="4" t="s">
        <v>8</v>
      </c>
      <c r="B10" s="5">
        <v>3</v>
      </c>
      <c r="C10" s="5">
        <v>2</v>
      </c>
    </row>
    <row r="11" spans="1:5" x14ac:dyDescent="0.3">
      <c r="A11" s="4" t="s">
        <v>9</v>
      </c>
      <c r="B11" s="5">
        <v>0</v>
      </c>
      <c r="C11" s="5">
        <v>0</v>
      </c>
    </row>
    <row r="12" spans="1:5" x14ac:dyDescent="0.3">
      <c r="A12" s="4" t="s">
        <v>10</v>
      </c>
      <c r="B12" s="5">
        <v>13</v>
      </c>
      <c r="C12" s="5">
        <v>5</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dimension ref="A1:P24"/>
  <sheetViews>
    <sheetView zoomScale="103" zoomScaleNormal="130" workbookViewId="0">
      <selection activeCell="A24" sqref="A2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86</v>
      </c>
      <c r="B1" s="44"/>
      <c r="C1" s="44"/>
      <c r="D1" s="44"/>
      <c r="E1" s="2"/>
    </row>
    <row r="2" spans="1:5" x14ac:dyDescent="0.3">
      <c r="B2" s="9" t="s">
        <v>1</v>
      </c>
      <c r="C2" s="10" t="s">
        <v>0</v>
      </c>
    </row>
    <row r="3" spans="1:5" ht="15" thickBot="1" x14ac:dyDescent="0.35">
      <c r="B3" s="20">
        <f>SUM(B4,B5,B6,B7,B8,B9,B10,B11,B12,B13,B16,B15,B14)</f>
        <v>385</v>
      </c>
      <c r="C3" s="12">
        <f>SUM(C4,C5,C6,C7,C8,C9,,C10,C11,C12,C13,C16,C15,C14)</f>
        <v>64</v>
      </c>
    </row>
    <row r="4" spans="1:5" s="5" customFormat="1" x14ac:dyDescent="0.3">
      <c r="A4" s="4" t="s">
        <v>2</v>
      </c>
      <c r="B4" s="5">
        <v>12</v>
      </c>
      <c r="C4" s="5">
        <v>3</v>
      </c>
    </row>
    <row r="5" spans="1:5" x14ac:dyDescent="0.3">
      <c r="A5" s="4" t="s">
        <v>3</v>
      </c>
      <c r="B5" s="30">
        <v>83</v>
      </c>
      <c r="C5" s="30">
        <v>18</v>
      </c>
    </row>
    <row r="6" spans="1:5" x14ac:dyDescent="0.3">
      <c r="A6" s="4" t="s">
        <v>4</v>
      </c>
      <c r="B6" s="19">
        <v>82</v>
      </c>
      <c r="C6" s="6">
        <v>30</v>
      </c>
    </row>
    <row r="7" spans="1:5" x14ac:dyDescent="0.3">
      <c r="A7" s="4" t="s">
        <v>5</v>
      </c>
      <c r="B7" s="18">
        <v>193</v>
      </c>
      <c r="C7" s="5">
        <v>7</v>
      </c>
    </row>
    <row r="8" spans="1:5" x14ac:dyDescent="0.3">
      <c r="A8" s="4" t="s">
        <v>6</v>
      </c>
      <c r="B8" s="18">
        <v>0</v>
      </c>
      <c r="C8" s="18">
        <v>0</v>
      </c>
    </row>
    <row r="9" spans="1:5" x14ac:dyDescent="0.3">
      <c r="A9" s="4" t="s">
        <v>7</v>
      </c>
      <c r="B9" s="5">
        <v>0</v>
      </c>
      <c r="C9" s="5">
        <v>0</v>
      </c>
    </row>
    <row r="10" spans="1:5" x14ac:dyDescent="0.3">
      <c r="A10" s="4" t="s">
        <v>8</v>
      </c>
      <c r="B10" s="5">
        <v>2</v>
      </c>
      <c r="C10" s="5">
        <v>2</v>
      </c>
    </row>
    <row r="11" spans="1:5" x14ac:dyDescent="0.3">
      <c r="A11" s="4" t="s">
        <v>9</v>
      </c>
      <c r="B11" s="5">
        <v>0</v>
      </c>
      <c r="C11" s="5">
        <v>0</v>
      </c>
    </row>
    <row r="12" spans="1:5" x14ac:dyDescent="0.3">
      <c r="A12" s="4" t="s">
        <v>10</v>
      </c>
      <c r="B12" s="5">
        <v>13</v>
      </c>
      <c r="C12" s="5">
        <v>4</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dimension ref="A1:P24"/>
  <sheetViews>
    <sheetView zoomScale="103" zoomScaleNormal="130" workbookViewId="0">
      <selection activeCell="A24" sqref="A2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85</v>
      </c>
      <c r="B1" s="44"/>
      <c r="C1" s="44"/>
      <c r="D1" s="44"/>
      <c r="E1" s="2"/>
    </row>
    <row r="2" spans="1:5" x14ac:dyDescent="0.3">
      <c r="B2" s="9" t="s">
        <v>1</v>
      </c>
      <c r="C2" s="10" t="s">
        <v>0</v>
      </c>
    </row>
    <row r="3" spans="1:5" ht="15" thickBot="1" x14ac:dyDescent="0.35">
      <c r="B3" s="20">
        <f>SUM(B4,B5,B6,B7,B8,B9,B10,B11,B12,B13,B16,B15,B14)</f>
        <v>485</v>
      </c>
      <c r="C3" s="12">
        <f>SUM(C4,C5,C6,C7,C8,C9,,C10,C11,C12,C13,C16,C15,C14)</f>
        <v>72</v>
      </c>
    </row>
    <row r="4" spans="1:5" s="5" customFormat="1" x14ac:dyDescent="0.3">
      <c r="A4" s="4" t="s">
        <v>2</v>
      </c>
      <c r="B4" s="5">
        <v>16</v>
      </c>
      <c r="C4" s="5">
        <v>3</v>
      </c>
    </row>
    <row r="5" spans="1:5" x14ac:dyDescent="0.3">
      <c r="A5" s="4" t="s">
        <v>3</v>
      </c>
      <c r="B5" s="30">
        <v>106</v>
      </c>
      <c r="C5" s="30">
        <v>21</v>
      </c>
    </row>
    <row r="6" spans="1:5" x14ac:dyDescent="0.3">
      <c r="A6" s="4" t="s">
        <v>4</v>
      </c>
      <c r="B6" s="19">
        <v>141</v>
      </c>
      <c r="C6" s="6">
        <v>31</v>
      </c>
    </row>
    <row r="7" spans="1:5" x14ac:dyDescent="0.3">
      <c r="A7" s="4" t="s">
        <v>5</v>
      </c>
      <c r="B7" s="18">
        <v>208</v>
      </c>
      <c r="C7" s="5">
        <v>12</v>
      </c>
    </row>
    <row r="8" spans="1:5" x14ac:dyDescent="0.3">
      <c r="A8" s="4" t="s">
        <v>6</v>
      </c>
      <c r="B8" s="18">
        <v>0</v>
      </c>
      <c r="C8" s="18">
        <v>0</v>
      </c>
    </row>
    <row r="9" spans="1:5" x14ac:dyDescent="0.3">
      <c r="A9" s="4" t="s">
        <v>7</v>
      </c>
      <c r="B9" s="5">
        <v>0</v>
      </c>
      <c r="C9" s="5">
        <v>0</v>
      </c>
    </row>
    <row r="10" spans="1:5" x14ac:dyDescent="0.3">
      <c r="A10" s="4" t="s">
        <v>8</v>
      </c>
      <c r="B10" s="5">
        <v>1</v>
      </c>
      <c r="C10" s="5">
        <v>1</v>
      </c>
    </row>
    <row r="11" spans="1:5" x14ac:dyDescent="0.3">
      <c r="A11" s="4" t="s">
        <v>9</v>
      </c>
      <c r="B11" s="5">
        <v>0</v>
      </c>
      <c r="C11" s="5">
        <v>0</v>
      </c>
    </row>
    <row r="12" spans="1:5" x14ac:dyDescent="0.3">
      <c r="A12" s="4" t="s">
        <v>10</v>
      </c>
      <c r="B12" s="5">
        <v>13</v>
      </c>
      <c r="C12" s="5">
        <v>4</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dimension ref="A1:P24"/>
  <sheetViews>
    <sheetView zoomScale="103" zoomScaleNormal="130" workbookViewId="0">
      <selection activeCell="A24" sqref="A2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84</v>
      </c>
      <c r="B1" s="44"/>
      <c r="C1" s="44"/>
      <c r="D1" s="44"/>
      <c r="E1" s="2"/>
    </row>
    <row r="2" spans="1:5" x14ac:dyDescent="0.3">
      <c r="B2" s="9" t="s">
        <v>1</v>
      </c>
      <c r="C2" s="10" t="s">
        <v>0</v>
      </c>
    </row>
    <row r="3" spans="1:5" ht="15" thickBot="1" x14ac:dyDescent="0.35">
      <c r="B3" s="20">
        <f>SUM(B4,B5,B6,B7,B8,B9,B10,B11,B12,B13,B16,B15,B14)</f>
        <v>467</v>
      </c>
      <c r="C3" s="12">
        <f>SUM(C4,C5,C6,C7,C8,C9,,C10,C11,C12,C13,C16,C15,C14)</f>
        <v>75</v>
      </c>
    </row>
    <row r="4" spans="1:5" s="5" customFormat="1" x14ac:dyDescent="0.3">
      <c r="A4" s="4" t="s">
        <v>2</v>
      </c>
      <c r="B4" s="5">
        <v>15</v>
      </c>
      <c r="C4" s="5">
        <v>3</v>
      </c>
    </row>
    <row r="5" spans="1:5" x14ac:dyDescent="0.3">
      <c r="A5" s="4" t="s">
        <v>3</v>
      </c>
      <c r="B5" s="30">
        <v>93</v>
      </c>
      <c r="C5" s="30">
        <v>16</v>
      </c>
    </row>
    <row r="6" spans="1:5" x14ac:dyDescent="0.3">
      <c r="A6" s="4" t="s">
        <v>4</v>
      </c>
      <c r="B6" s="19">
        <v>128</v>
      </c>
      <c r="C6" s="6">
        <v>37</v>
      </c>
    </row>
    <row r="7" spans="1:5" x14ac:dyDescent="0.3">
      <c r="A7" s="4" t="s">
        <v>5</v>
      </c>
      <c r="B7" s="18">
        <v>219</v>
      </c>
      <c r="C7" s="5">
        <v>16</v>
      </c>
    </row>
    <row r="8" spans="1:5" x14ac:dyDescent="0.3">
      <c r="A8" s="4" t="s">
        <v>6</v>
      </c>
      <c r="B8" s="18">
        <v>0</v>
      </c>
      <c r="C8" s="18">
        <v>0</v>
      </c>
    </row>
    <row r="9" spans="1:5" x14ac:dyDescent="0.3">
      <c r="A9" s="4" t="s">
        <v>7</v>
      </c>
      <c r="B9" s="5">
        <v>0</v>
      </c>
      <c r="C9" s="5">
        <v>0</v>
      </c>
    </row>
    <row r="10" spans="1:5" x14ac:dyDescent="0.3">
      <c r="A10" s="4" t="s">
        <v>8</v>
      </c>
      <c r="B10" s="5">
        <v>0</v>
      </c>
      <c r="C10" s="5">
        <v>0</v>
      </c>
    </row>
    <row r="11" spans="1:5" x14ac:dyDescent="0.3">
      <c r="A11" s="4" t="s">
        <v>9</v>
      </c>
      <c r="B11" s="5">
        <v>0</v>
      </c>
      <c r="C11" s="5">
        <v>0</v>
      </c>
    </row>
    <row r="12" spans="1:5" x14ac:dyDescent="0.3">
      <c r="A12" s="4" t="s">
        <v>10</v>
      </c>
      <c r="B12" s="5">
        <v>12</v>
      </c>
      <c r="C12" s="5">
        <v>3</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dimension ref="A1:P24"/>
  <sheetViews>
    <sheetView zoomScale="103" zoomScaleNormal="130" workbookViewId="0">
      <selection activeCell="A24" sqref="A2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83</v>
      </c>
      <c r="B1" s="44"/>
      <c r="C1" s="44"/>
      <c r="D1" s="44"/>
      <c r="E1" s="2"/>
    </row>
    <row r="2" spans="1:5" x14ac:dyDescent="0.3">
      <c r="B2" s="9" t="s">
        <v>1</v>
      </c>
      <c r="C2" s="10" t="s">
        <v>0</v>
      </c>
    </row>
    <row r="3" spans="1:5" ht="15" thickBot="1" x14ac:dyDescent="0.35">
      <c r="B3" s="20">
        <f>SUM(B4,B5,B6,B7,B8,B9,B10,B11,B12,B13,B16,B15,B14)</f>
        <v>447</v>
      </c>
      <c r="C3" s="12">
        <f>SUM(C4,C5,C6,C7,C8,C9,,C10,C11,C12,C13,C16,C15,C14)</f>
        <v>72</v>
      </c>
    </row>
    <row r="4" spans="1:5" s="5" customFormat="1" x14ac:dyDescent="0.3">
      <c r="A4" s="4" t="s">
        <v>2</v>
      </c>
      <c r="B4" s="5">
        <v>18</v>
      </c>
      <c r="C4" s="5">
        <v>2</v>
      </c>
    </row>
    <row r="5" spans="1:5" x14ac:dyDescent="0.3">
      <c r="A5" s="4" t="s">
        <v>3</v>
      </c>
      <c r="B5" s="30">
        <v>68</v>
      </c>
      <c r="C5" s="30">
        <v>13</v>
      </c>
    </row>
    <row r="6" spans="1:5" x14ac:dyDescent="0.3">
      <c r="A6" s="4" t="s">
        <v>4</v>
      </c>
      <c r="B6" s="19">
        <v>115</v>
      </c>
      <c r="C6" s="6">
        <v>37</v>
      </c>
    </row>
    <row r="7" spans="1:5" x14ac:dyDescent="0.3">
      <c r="A7" s="4" t="s">
        <v>5</v>
      </c>
      <c r="B7" s="18">
        <v>234</v>
      </c>
      <c r="C7" s="5">
        <v>17</v>
      </c>
    </row>
    <row r="8" spans="1:5" x14ac:dyDescent="0.3">
      <c r="A8" s="4" t="s">
        <v>6</v>
      </c>
      <c r="B8" s="18">
        <v>0</v>
      </c>
      <c r="C8" s="18">
        <v>0</v>
      </c>
    </row>
    <row r="9" spans="1:5" x14ac:dyDescent="0.3">
      <c r="A9" s="4" t="s">
        <v>7</v>
      </c>
      <c r="B9" s="5">
        <v>0</v>
      </c>
      <c r="C9" s="5">
        <v>0</v>
      </c>
    </row>
    <row r="10" spans="1:5" x14ac:dyDescent="0.3">
      <c r="A10" s="4" t="s">
        <v>8</v>
      </c>
      <c r="B10" s="5">
        <v>0</v>
      </c>
      <c r="C10" s="5">
        <v>0</v>
      </c>
    </row>
    <row r="11" spans="1:5" x14ac:dyDescent="0.3">
      <c r="A11" s="4" t="s">
        <v>9</v>
      </c>
      <c r="B11" s="5">
        <v>0</v>
      </c>
      <c r="C11" s="5">
        <v>0</v>
      </c>
    </row>
    <row r="12" spans="1:5" x14ac:dyDescent="0.3">
      <c r="A12" s="4" t="s">
        <v>10</v>
      </c>
      <c r="B12" s="5">
        <v>12</v>
      </c>
      <c r="C12" s="5">
        <v>3</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dimension ref="A1:P24"/>
  <sheetViews>
    <sheetView zoomScale="103" zoomScaleNormal="130" workbookViewId="0">
      <selection activeCell="A24" sqref="A2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82</v>
      </c>
      <c r="B1" s="44"/>
      <c r="C1" s="44"/>
      <c r="D1" s="44"/>
      <c r="E1" s="2"/>
    </row>
    <row r="2" spans="1:5" x14ac:dyDescent="0.3">
      <c r="B2" s="9" t="s">
        <v>1</v>
      </c>
      <c r="C2" s="10" t="s">
        <v>0</v>
      </c>
    </row>
    <row r="3" spans="1:5" ht="15" thickBot="1" x14ac:dyDescent="0.35">
      <c r="B3" s="20">
        <f>SUM(B4,B5,B6,B7,B8,B9,B10,B11,B12,B13,B16,B15,B14)</f>
        <v>446</v>
      </c>
      <c r="C3" s="12">
        <f>SUM(C4,C5,C6,C7,C8,C9,,C10,C11,C12,C13,C16,C15,C14)</f>
        <v>61</v>
      </c>
    </row>
    <row r="4" spans="1:5" s="5" customFormat="1" x14ac:dyDescent="0.3">
      <c r="A4" s="4" t="s">
        <v>2</v>
      </c>
      <c r="B4" s="5">
        <v>14</v>
      </c>
      <c r="C4" s="5">
        <v>5</v>
      </c>
    </row>
    <row r="5" spans="1:5" x14ac:dyDescent="0.3">
      <c r="A5" s="4" t="s">
        <v>3</v>
      </c>
      <c r="B5" s="30">
        <v>69</v>
      </c>
      <c r="C5" s="30">
        <v>8</v>
      </c>
    </row>
    <row r="6" spans="1:5" x14ac:dyDescent="0.3">
      <c r="A6" s="4" t="s">
        <v>4</v>
      </c>
      <c r="B6" s="19">
        <v>108</v>
      </c>
      <c r="C6" s="6">
        <v>30</v>
      </c>
    </row>
    <row r="7" spans="1:5" x14ac:dyDescent="0.3">
      <c r="A7" s="4" t="s">
        <v>5</v>
      </c>
      <c r="B7" s="18">
        <v>244</v>
      </c>
      <c r="C7" s="5">
        <v>16</v>
      </c>
    </row>
    <row r="8" spans="1:5" x14ac:dyDescent="0.3">
      <c r="A8" s="4" t="s">
        <v>6</v>
      </c>
      <c r="B8" s="18">
        <v>0</v>
      </c>
      <c r="C8" s="18">
        <v>0</v>
      </c>
    </row>
    <row r="9" spans="1:5" x14ac:dyDescent="0.3">
      <c r="A9" s="4" t="s">
        <v>7</v>
      </c>
      <c r="B9" s="5">
        <v>0</v>
      </c>
      <c r="C9" s="5">
        <v>0</v>
      </c>
    </row>
    <row r="10" spans="1:5" x14ac:dyDescent="0.3">
      <c r="A10" s="4" t="s">
        <v>8</v>
      </c>
      <c r="B10" s="5">
        <v>0</v>
      </c>
      <c r="C10" s="5">
        <v>0</v>
      </c>
    </row>
    <row r="11" spans="1:5" x14ac:dyDescent="0.3">
      <c r="A11" s="4" t="s">
        <v>9</v>
      </c>
      <c r="B11" s="5">
        <v>0</v>
      </c>
      <c r="C11" s="5">
        <v>0</v>
      </c>
    </row>
    <row r="12" spans="1:5" x14ac:dyDescent="0.3">
      <c r="A12" s="4" t="s">
        <v>10</v>
      </c>
      <c r="B12" s="5">
        <v>11</v>
      </c>
      <c r="C12" s="5">
        <v>2</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dimension ref="A1:P24"/>
  <sheetViews>
    <sheetView zoomScale="103" zoomScaleNormal="130" workbookViewId="0">
      <selection activeCell="A24" sqref="A2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81</v>
      </c>
      <c r="B1" s="44"/>
      <c r="C1" s="44"/>
      <c r="D1" s="44"/>
      <c r="E1" s="2"/>
    </row>
    <row r="2" spans="1:5" x14ac:dyDescent="0.3">
      <c r="B2" s="9" t="s">
        <v>1</v>
      </c>
      <c r="C2" s="10" t="s">
        <v>0</v>
      </c>
    </row>
    <row r="3" spans="1:5" ht="15" thickBot="1" x14ac:dyDescent="0.35">
      <c r="B3" s="20">
        <f>SUM(B4,B5,B6,B7,B8,B9,B10,B11,B12,B13,B16,B15,B14)</f>
        <v>456</v>
      </c>
      <c r="C3" s="12">
        <f>SUM(C4,C5,C6,C7,C8,C9,,C10,C11,C12,C13,C16,C15,C14)</f>
        <v>71</v>
      </c>
    </row>
    <row r="4" spans="1:5" s="5" customFormat="1" x14ac:dyDescent="0.3">
      <c r="A4" s="4" t="s">
        <v>2</v>
      </c>
      <c r="B4" s="5">
        <v>14</v>
      </c>
      <c r="C4" s="5">
        <v>5</v>
      </c>
    </row>
    <row r="5" spans="1:5" x14ac:dyDescent="0.3">
      <c r="A5" s="4" t="s">
        <v>3</v>
      </c>
      <c r="B5" s="30">
        <v>55</v>
      </c>
      <c r="C5" s="30">
        <v>13</v>
      </c>
    </row>
    <row r="6" spans="1:5" x14ac:dyDescent="0.3">
      <c r="A6" s="4" t="s">
        <v>4</v>
      </c>
      <c r="B6" s="19">
        <v>115</v>
      </c>
      <c r="C6" s="6">
        <v>31</v>
      </c>
    </row>
    <row r="7" spans="1:5" x14ac:dyDescent="0.3">
      <c r="A7" s="4" t="s">
        <v>5</v>
      </c>
      <c r="B7" s="18">
        <v>265</v>
      </c>
      <c r="C7" s="5">
        <v>20</v>
      </c>
    </row>
    <row r="8" spans="1:5" x14ac:dyDescent="0.3">
      <c r="A8" s="4" t="s">
        <v>6</v>
      </c>
      <c r="B8" s="18">
        <v>1</v>
      </c>
      <c r="C8" s="18">
        <v>0</v>
      </c>
    </row>
    <row r="9" spans="1:5" x14ac:dyDescent="0.3">
      <c r="A9" s="4" t="s">
        <v>7</v>
      </c>
      <c r="B9" s="5">
        <v>0</v>
      </c>
      <c r="C9" s="5">
        <v>0</v>
      </c>
    </row>
    <row r="10" spans="1:5" x14ac:dyDescent="0.3">
      <c r="A10" s="4" t="s">
        <v>8</v>
      </c>
      <c r="B10" s="5">
        <v>0</v>
      </c>
      <c r="C10" s="5">
        <v>0</v>
      </c>
    </row>
    <row r="11" spans="1:5" x14ac:dyDescent="0.3">
      <c r="A11" s="4" t="s">
        <v>9</v>
      </c>
      <c r="B11" s="5">
        <v>0</v>
      </c>
      <c r="C11" s="5">
        <v>0</v>
      </c>
    </row>
    <row r="12" spans="1:5" x14ac:dyDescent="0.3">
      <c r="A12" s="4" t="s">
        <v>10</v>
      </c>
      <c r="B12" s="5">
        <v>6</v>
      </c>
      <c r="C12" s="5">
        <v>2</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dimension ref="A1:P24"/>
  <sheetViews>
    <sheetView zoomScale="103" zoomScaleNormal="130" workbookViewId="0">
      <selection activeCell="A24" sqref="A2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80</v>
      </c>
      <c r="B1" s="44"/>
      <c r="C1" s="44"/>
      <c r="D1" s="44"/>
      <c r="E1" s="2"/>
    </row>
    <row r="2" spans="1:5" x14ac:dyDescent="0.3">
      <c r="B2" s="9" t="s">
        <v>1</v>
      </c>
      <c r="C2" s="10" t="s">
        <v>0</v>
      </c>
    </row>
    <row r="3" spans="1:5" ht="15" thickBot="1" x14ac:dyDescent="0.35">
      <c r="B3" s="20">
        <f>SUM(B4,B5,B6,B7,B8,B9,B10,B11,B12,B13,B16,B15,B14)</f>
        <v>459</v>
      </c>
      <c r="C3" s="12">
        <f>SUM(C4,C5,C6,C7,C8,C9,,C10,C11,C12,C13,C16,C15,C14)</f>
        <v>64</v>
      </c>
    </row>
    <row r="4" spans="1:5" s="5" customFormat="1" x14ac:dyDescent="0.3">
      <c r="A4" s="4" t="s">
        <v>2</v>
      </c>
      <c r="B4" s="5">
        <v>16</v>
      </c>
      <c r="C4" s="5">
        <v>5</v>
      </c>
    </row>
    <row r="5" spans="1:5" x14ac:dyDescent="0.3">
      <c r="A5" s="4" t="s">
        <v>3</v>
      </c>
      <c r="B5" s="30">
        <v>50</v>
      </c>
      <c r="C5" s="30">
        <v>9</v>
      </c>
    </row>
    <row r="6" spans="1:5" x14ac:dyDescent="0.3">
      <c r="A6" s="4" t="s">
        <v>4</v>
      </c>
      <c r="B6" s="19">
        <v>104</v>
      </c>
      <c r="C6" s="6">
        <v>28</v>
      </c>
    </row>
    <row r="7" spans="1:5" x14ac:dyDescent="0.3">
      <c r="A7" s="4" t="s">
        <v>5</v>
      </c>
      <c r="B7" s="18">
        <v>284</v>
      </c>
      <c r="C7" s="5">
        <v>21</v>
      </c>
    </row>
    <row r="8" spans="1:5" x14ac:dyDescent="0.3">
      <c r="A8" s="4" t="s">
        <v>6</v>
      </c>
      <c r="B8" s="18">
        <v>1</v>
      </c>
      <c r="C8" s="18">
        <v>0</v>
      </c>
    </row>
    <row r="9" spans="1:5" x14ac:dyDescent="0.3">
      <c r="A9" s="4" t="s">
        <v>7</v>
      </c>
      <c r="B9" s="5">
        <v>0</v>
      </c>
      <c r="C9" s="5">
        <v>0</v>
      </c>
    </row>
    <row r="10" spans="1:5" x14ac:dyDescent="0.3">
      <c r="A10" s="4" t="s">
        <v>8</v>
      </c>
      <c r="B10" s="5">
        <v>0</v>
      </c>
      <c r="C10" s="5">
        <v>0</v>
      </c>
    </row>
    <row r="11" spans="1:5" x14ac:dyDescent="0.3">
      <c r="A11" s="4" t="s">
        <v>9</v>
      </c>
      <c r="B11" s="5">
        <v>0</v>
      </c>
      <c r="C11" s="5">
        <v>0</v>
      </c>
    </row>
    <row r="12" spans="1:5" x14ac:dyDescent="0.3">
      <c r="A12" s="4" t="s">
        <v>10</v>
      </c>
      <c r="B12" s="5">
        <v>4</v>
      </c>
      <c r="C12" s="5">
        <v>1</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0-000000000000}">
  <dimension ref="A1:P17"/>
  <sheetViews>
    <sheetView zoomScale="103" zoomScaleNormal="130" workbookViewId="0">
      <selection activeCell="A24" sqref="A2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79</v>
      </c>
      <c r="B1" s="44"/>
      <c r="C1" s="44"/>
      <c r="D1" s="44"/>
      <c r="E1" s="2"/>
    </row>
    <row r="2" spans="1:5" x14ac:dyDescent="0.3">
      <c r="B2" s="9" t="s">
        <v>1</v>
      </c>
      <c r="C2" s="10" t="s">
        <v>0</v>
      </c>
    </row>
    <row r="3" spans="1:5" ht="15" thickBot="1" x14ac:dyDescent="0.35">
      <c r="B3" s="20">
        <f>SUM(B4,B5,B6,B7,B8,B9,B10,B11,B12,B13,B16,B15,B14)</f>
        <v>479</v>
      </c>
      <c r="C3" s="12">
        <f>SUM(C4,C5,C6,C7,C8,C9,,C10,C11,C12,C13,C16,C15,C14)</f>
        <v>70</v>
      </c>
    </row>
    <row r="4" spans="1:5" s="5" customFormat="1" x14ac:dyDescent="0.3">
      <c r="A4" s="4" t="s">
        <v>2</v>
      </c>
      <c r="B4" s="5">
        <v>17</v>
      </c>
      <c r="C4" s="5">
        <v>4</v>
      </c>
    </row>
    <row r="5" spans="1:5" x14ac:dyDescent="0.3">
      <c r="A5" s="4" t="s">
        <v>3</v>
      </c>
      <c r="B5" s="30">
        <v>46</v>
      </c>
      <c r="C5" s="30">
        <v>7</v>
      </c>
    </row>
    <row r="6" spans="1:5" x14ac:dyDescent="0.3">
      <c r="A6" s="4" t="s">
        <v>4</v>
      </c>
      <c r="B6" s="19">
        <v>117</v>
      </c>
      <c r="C6" s="6">
        <v>34</v>
      </c>
    </row>
    <row r="7" spans="1:5" x14ac:dyDescent="0.3">
      <c r="A7" s="4" t="s">
        <v>5</v>
      </c>
      <c r="B7" s="18">
        <v>293</v>
      </c>
      <c r="C7" s="5">
        <v>24</v>
      </c>
    </row>
    <row r="8" spans="1:5" x14ac:dyDescent="0.3">
      <c r="A8" s="4" t="s">
        <v>6</v>
      </c>
      <c r="B8" s="18">
        <v>1</v>
      </c>
      <c r="C8" s="18">
        <v>0</v>
      </c>
    </row>
    <row r="9" spans="1:5" x14ac:dyDescent="0.3">
      <c r="A9" s="4" t="s">
        <v>7</v>
      </c>
      <c r="B9" s="5">
        <v>0</v>
      </c>
      <c r="C9" s="5">
        <v>0</v>
      </c>
    </row>
    <row r="10" spans="1:5" x14ac:dyDescent="0.3">
      <c r="A10" s="4" t="s">
        <v>8</v>
      </c>
      <c r="B10" s="5">
        <v>0</v>
      </c>
      <c r="C10" s="5">
        <v>0</v>
      </c>
    </row>
    <row r="11" spans="1:5" x14ac:dyDescent="0.3">
      <c r="A11" s="4" t="s">
        <v>9</v>
      </c>
      <c r="B11" s="5">
        <v>0</v>
      </c>
      <c r="C11" s="5">
        <v>0</v>
      </c>
    </row>
    <row r="12" spans="1:5" x14ac:dyDescent="0.3">
      <c r="A12" s="4" t="s">
        <v>10</v>
      </c>
      <c r="B12" s="5">
        <v>5</v>
      </c>
      <c r="C12" s="5">
        <v>1</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2:2" x14ac:dyDescent="0.3">
      <c r="B17" s="3"/>
    </row>
  </sheetData>
  <mergeCells count="1">
    <mergeCell ref="A1:D1"/>
  </mergeCells>
  <pageMargins left="0.7" right="0.7" top="0.75" bottom="0.75" header="0.3" footer="0.3"/>
  <pageSetup orientation="portrait" verticalDpi="0" r:id="rId1"/>
  <drawing r:id="rId2"/>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0-000000000000}">
  <dimension ref="A1:P17"/>
  <sheetViews>
    <sheetView zoomScale="103" zoomScaleNormal="130" workbookViewId="0">
      <selection activeCell="A24" sqref="A2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78</v>
      </c>
      <c r="B1" s="44"/>
      <c r="C1" s="44"/>
      <c r="D1" s="44"/>
      <c r="E1" s="2"/>
    </row>
    <row r="2" spans="1:5" x14ac:dyDescent="0.3">
      <c r="B2" s="9" t="s">
        <v>1</v>
      </c>
      <c r="C2" s="10" t="s">
        <v>0</v>
      </c>
    </row>
    <row r="3" spans="1:5" ht="15" thickBot="1" x14ac:dyDescent="0.35">
      <c r="B3" s="20">
        <f>SUM(B4,B5,B6,B7,B8,B9,B10,B11,B12,B13,B16,B15,B14)</f>
        <v>503</v>
      </c>
      <c r="C3" s="12">
        <f>SUM(C4,C5,C6,C7,C8,C9,,C10,C11,C12,C13,C16,C15,C14)</f>
        <v>72</v>
      </c>
    </row>
    <row r="4" spans="1:5" s="5" customFormat="1" x14ac:dyDescent="0.3">
      <c r="A4" s="4" t="s">
        <v>2</v>
      </c>
      <c r="B4" s="5">
        <v>16</v>
      </c>
      <c r="C4" s="5">
        <v>4</v>
      </c>
    </row>
    <row r="5" spans="1:5" x14ac:dyDescent="0.3">
      <c r="A5" s="4" t="s">
        <v>3</v>
      </c>
      <c r="B5" s="30">
        <v>54</v>
      </c>
      <c r="C5" s="30">
        <v>6</v>
      </c>
    </row>
    <row r="6" spans="1:5" x14ac:dyDescent="0.3">
      <c r="A6" s="4" t="s">
        <v>4</v>
      </c>
      <c r="B6" s="19">
        <v>123</v>
      </c>
      <c r="C6" s="6">
        <v>35</v>
      </c>
    </row>
    <row r="7" spans="1:5" x14ac:dyDescent="0.3">
      <c r="A7" s="4" t="s">
        <v>5</v>
      </c>
      <c r="B7" s="18">
        <v>304</v>
      </c>
      <c r="C7" s="5">
        <v>27</v>
      </c>
    </row>
    <row r="8" spans="1:5" x14ac:dyDescent="0.3">
      <c r="A8" s="4" t="s">
        <v>6</v>
      </c>
      <c r="B8" s="18">
        <v>2</v>
      </c>
      <c r="C8" s="18">
        <v>0</v>
      </c>
    </row>
    <row r="9" spans="1:5" x14ac:dyDescent="0.3">
      <c r="A9" s="4" t="s">
        <v>7</v>
      </c>
      <c r="B9" s="5">
        <v>0</v>
      </c>
      <c r="C9" s="5">
        <v>0</v>
      </c>
    </row>
    <row r="10" spans="1:5" x14ac:dyDescent="0.3">
      <c r="A10" s="4" t="s">
        <v>8</v>
      </c>
      <c r="B10" s="5">
        <v>0</v>
      </c>
      <c r="C10" s="5">
        <v>0</v>
      </c>
    </row>
    <row r="11" spans="1:5" x14ac:dyDescent="0.3">
      <c r="A11" s="4" t="s">
        <v>9</v>
      </c>
      <c r="B11" s="5">
        <v>0</v>
      </c>
      <c r="C11" s="5">
        <v>0</v>
      </c>
    </row>
    <row r="12" spans="1:5" x14ac:dyDescent="0.3">
      <c r="A12" s="4" t="s">
        <v>10</v>
      </c>
      <c r="B12" s="5">
        <v>4</v>
      </c>
      <c r="C12" s="5">
        <v>0</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2:2" x14ac:dyDescent="0.3">
      <c r="B17" s="3"/>
    </row>
  </sheetData>
  <mergeCells count="1">
    <mergeCell ref="A1:D1"/>
  </mergeCells>
  <pageMargins left="0.7" right="0.7" top="0.75" bottom="0.75" header="0.3" footer="0.3"/>
  <pageSetup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P27"/>
  <sheetViews>
    <sheetView zoomScaleNormal="100" workbookViewId="0">
      <selection activeCell="A27" sqref="A27"/>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422</v>
      </c>
      <c r="B1" s="44"/>
      <c r="C1" s="44"/>
      <c r="D1" s="44"/>
      <c r="E1" s="2"/>
    </row>
    <row r="2" spans="1:5" x14ac:dyDescent="0.3">
      <c r="B2" s="9" t="s">
        <v>1</v>
      </c>
      <c r="C2" s="10" t="s">
        <v>0</v>
      </c>
    </row>
    <row r="3" spans="1:5" ht="15" thickBot="1" x14ac:dyDescent="0.35">
      <c r="B3" s="20">
        <f>SUM(B4,B5,B6,B7,B8,B9,B10,B11,B12,B13,B16,B15,B14)</f>
        <v>3734</v>
      </c>
      <c r="C3" s="12">
        <f>SUM(C4,C5,C6,C7,C8,C9,,C10,C11,C12,C13,C16,C15,C14)</f>
        <v>384</v>
      </c>
    </row>
    <row r="4" spans="1:5" s="5" customFormat="1" x14ac:dyDescent="0.3">
      <c r="A4" s="4" t="s">
        <v>2</v>
      </c>
      <c r="B4" s="5">
        <v>260</v>
      </c>
      <c r="C4" s="5">
        <v>50</v>
      </c>
    </row>
    <row r="5" spans="1:5" x14ac:dyDescent="0.3">
      <c r="A5" s="4" t="s">
        <v>3</v>
      </c>
      <c r="B5" s="30">
        <v>956</v>
      </c>
      <c r="C5" s="30">
        <v>56</v>
      </c>
      <c r="D5" s="5"/>
    </row>
    <row r="6" spans="1:5" x14ac:dyDescent="0.3">
      <c r="A6" s="4" t="s">
        <v>4</v>
      </c>
      <c r="B6" s="19">
        <v>655</v>
      </c>
      <c r="C6" s="6">
        <v>158</v>
      </c>
      <c r="D6" s="5"/>
    </row>
    <row r="7" spans="1:5" x14ac:dyDescent="0.3">
      <c r="A7" s="4" t="s">
        <v>5</v>
      </c>
      <c r="B7" s="32">
        <v>1115</v>
      </c>
      <c r="C7" s="5">
        <v>53</v>
      </c>
      <c r="D7" s="5"/>
    </row>
    <row r="8" spans="1:5" s="15" customFormat="1" x14ac:dyDescent="0.3">
      <c r="A8" s="14" t="s">
        <v>6</v>
      </c>
      <c r="B8" s="6">
        <v>45</v>
      </c>
      <c r="C8" s="6">
        <v>11</v>
      </c>
      <c r="D8" s="5"/>
    </row>
    <row r="9" spans="1:5" x14ac:dyDescent="0.3">
      <c r="A9" s="4" t="s">
        <v>7</v>
      </c>
      <c r="B9" s="5">
        <v>129</v>
      </c>
      <c r="C9" s="5">
        <v>16</v>
      </c>
      <c r="D9" s="5"/>
    </row>
    <row r="10" spans="1:5" x14ac:dyDescent="0.3">
      <c r="A10" s="4" t="s">
        <v>8</v>
      </c>
      <c r="B10" s="5">
        <v>165</v>
      </c>
      <c r="C10" s="5">
        <v>14</v>
      </c>
      <c r="D10" s="5"/>
    </row>
    <row r="11" spans="1:5" x14ac:dyDescent="0.3">
      <c r="A11" s="4" t="s">
        <v>9</v>
      </c>
      <c r="B11" s="5">
        <v>22</v>
      </c>
      <c r="C11" s="5">
        <v>0</v>
      </c>
      <c r="D11" s="5"/>
    </row>
    <row r="12" spans="1:5" x14ac:dyDescent="0.3">
      <c r="A12" s="4" t="s">
        <v>10</v>
      </c>
      <c r="B12" s="5">
        <v>306</v>
      </c>
      <c r="C12" s="5">
        <v>19</v>
      </c>
      <c r="D12" s="5"/>
    </row>
    <row r="13" spans="1:5" x14ac:dyDescent="0.3">
      <c r="A13" s="4" t="s">
        <v>11</v>
      </c>
      <c r="B13" s="5">
        <v>40</v>
      </c>
      <c r="C13" s="5">
        <v>7</v>
      </c>
      <c r="D13" s="5"/>
    </row>
    <row r="14" spans="1:5" x14ac:dyDescent="0.3">
      <c r="A14" s="4" t="s">
        <v>12</v>
      </c>
      <c r="B14" s="8">
        <v>8</v>
      </c>
      <c r="C14" s="7">
        <v>0</v>
      </c>
      <c r="D14" s="5"/>
    </row>
    <row r="15" spans="1:5" x14ac:dyDescent="0.3">
      <c r="A15" s="4" t="s">
        <v>13</v>
      </c>
      <c r="B15" s="5">
        <v>0</v>
      </c>
      <c r="C15" s="5">
        <v>0</v>
      </c>
      <c r="D15" s="5" t="s">
        <v>231</v>
      </c>
    </row>
    <row r="16" spans="1:5" x14ac:dyDescent="0.3">
      <c r="A16" s="4" t="s">
        <v>14</v>
      </c>
      <c r="B16" s="5">
        <v>33</v>
      </c>
      <c r="C16" s="5">
        <v>0</v>
      </c>
      <c r="D16" s="5"/>
    </row>
    <row r="17" spans="1:9" x14ac:dyDescent="0.3">
      <c r="B17" s="3"/>
    </row>
    <row r="20" spans="1:9" x14ac:dyDescent="0.3">
      <c r="A20" s="1" t="s">
        <v>122</v>
      </c>
    </row>
    <row r="21" spans="1:9" s="3" customFormat="1" x14ac:dyDescent="0.3">
      <c r="A21" s="33" t="s">
        <v>424</v>
      </c>
      <c r="B21" s="8"/>
    </row>
    <row r="22" spans="1:9" s="3" customFormat="1" x14ac:dyDescent="0.3">
      <c r="A22" s="34" t="s">
        <v>425</v>
      </c>
      <c r="B22" s="8"/>
    </row>
    <row r="23" spans="1:9" s="3" customFormat="1" x14ac:dyDescent="0.3">
      <c r="A23" s="35" t="s">
        <v>402</v>
      </c>
      <c r="B23" s="8"/>
    </row>
    <row r="24" spans="1:9" s="3" customFormat="1" x14ac:dyDescent="0.3">
      <c r="A24" s="33" t="s">
        <v>423</v>
      </c>
      <c r="B24" s="8"/>
    </row>
    <row r="25" spans="1:9" s="3" customFormat="1" x14ac:dyDescent="0.3">
      <c r="A25" s="33" t="s">
        <v>419</v>
      </c>
      <c r="B25" s="8"/>
    </row>
    <row r="26" spans="1:9" s="3" customFormat="1" x14ac:dyDescent="0.3">
      <c r="A26" s="33" t="s">
        <v>426</v>
      </c>
      <c r="B26" s="8"/>
    </row>
    <row r="27" spans="1:9" s="3" customFormat="1" x14ac:dyDescent="0.3">
      <c r="A27" s="36" t="s">
        <v>427</v>
      </c>
      <c r="B27" s="8"/>
      <c r="I27" s="3" t="s">
        <v>414</v>
      </c>
    </row>
  </sheetData>
  <mergeCells count="1">
    <mergeCell ref="A1:D1"/>
  </mergeCells>
  <hyperlinks>
    <hyperlink ref="A21" r:id="rId1" xr:uid="{00000000-0004-0000-0D00-000000000000}"/>
    <hyperlink ref="A22" r:id="rId2" display="**** YT's official website is now informing the number of hospitalizations, which is 2 as of March 7th." xr:uid="{00000000-0004-0000-0D00-000001000000}"/>
    <hyperlink ref="A23" r:id="rId3" xr:uid="{00000000-0004-0000-0D00-000002000000}"/>
    <hyperlink ref="A24" r:id="rId4" xr:uid="{00000000-0004-0000-0D00-000003000000}"/>
    <hyperlink ref="A25" r:id="rId5" xr:uid="{00000000-0004-0000-0D00-000004000000}"/>
    <hyperlink ref="A26" r:id="rId6" xr:uid="{00000000-0004-0000-0D00-000005000000}"/>
    <hyperlink ref="A27" r:id="rId7" xr:uid="{00000000-0004-0000-0D00-000006000000}"/>
  </hyperlinks>
  <pageMargins left="0.7" right="0.7" top="0.75" bottom="0.75" header="0.3" footer="0.3"/>
  <pageSetup orientation="portrait" r:id="rId8"/>
  <drawing r:id="rId9"/>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0-000000000000}">
  <dimension ref="A1:P30"/>
  <sheetViews>
    <sheetView zoomScale="103" zoomScaleNormal="130" workbookViewId="0">
      <selection activeCell="A24" sqref="A2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77</v>
      </c>
      <c r="B1" s="44"/>
      <c r="C1" s="44"/>
      <c r="D1" s="44"/>
      <c r="E1" s="2"/>
    </row>
    <row r="2" spans="1:5" x14ac:dyDescent="0.3">
      <c r="B2" s="9" t="s">
        <v>1</v>
      </c>
      <c r="C2" s="10" t="s">
        <v>0</v>
      </c>
    </row>
    <row r="3" spans="1:5" ht="15" thickBot="1" x14ac:dyDescent="0.35">
      <c r="B3" s="20">
        <f>SUM(B4,B5,B6,B7,B8,B9,B10,B11,B12,B13,B16,B15,B14)</f>
        <v>532</v>
      </c>
      <c r="C3" s="12">
        <f>SUM(C4,C5,C6,C7,C8,C9,,C10,C11,C12,C13,C16,C15,C14)</f>
        <v>74</v>
      </c>
    </row>
    <row r="4" spans="1:5" s="5" customFormat="1" ht="16.2" x14ac:dyDescent="0.3">
      <c r="A4" s="4" t="s">
        <v>56</v>
      </c>
      <c r="B4" s="5">
        <v>19</v>
      </c>
      <c r="C4" s="5">
        <v>2</v>
      </c>
    </row>
    <row r="5" spans="1:5" ht="16.2" x14ac:dyDescent="0.3">
      <c r="A5" s="22" t="s">
        <v>57</v>
      </c>
      <c r="B5" s="23">
        <v>44</v>
      </c>
      <c r="C5" s="23">
        <v>8</v>
      </c>
    </row>
    <row r="6" spans="1:5" x14ac:dyDescent="0.3">
      <c r="A6" s="4" t="s">
        <v>4</v>
      </c>
      <c r="B6" s="19">
        <v>118</v>
      </c>
      <c r="C6" s="6">
        <v>36</v>
      </c>
    </row>
    <row r="7" spans="1:5" ht="16.2" x14ac:dyDescent="0.3">
      <c r="A7" s="4" t="s">
        <v>76</v>
      </c>
      <c r="B7" s="18">
        <v>345</v>
      </c>
      <c r="C7" s="5">
        <v>25</v>
      </c>
    </row>
    <row r="8" spans="1:5" x14ac:dyDescent="0.3">
      <c r="A8" s="4" t="s">
        <v>6</v>
      </c>
      <c r="B8" s="18">
        <v>2</v>
      </c>
      <c r="C8" s="18">
        <v>0</v>
      </c>
    </row>
    <row r="9" spans="1:5" ht="16.2" x14ac:dyDescent="0.3">
      <c r="A9" s="4" t="s">
        <v>75</v>
      </c>
      <c r="B9" s="5">
        <v>0</v>
      </c>
      <c r="C9" s="5">
        <v>0</v>
      </c>
    </row>
    <row r="10" spans="1:5" ht="16.2" x14ac:dyDescent="0.3">
      <c r="A10" s="4" t="s">
        <v>74</v>
      </c>
      <c r="B10" s="5">
        <v>0</v>
      </c>
      <c r="C10" s="5">
        <v>0</v>
      </c>
    </row>
    <row r="11" spans="1:5" ht="16.2" x14ac:dyDescent="0.3">
      <c r="A11" s="4" t="s">
        <v>73</v>
      </c>
      <c r="B11" s="5">
        <v>0</v>
      </c>
      <c r="C11" s="5">
        <v>0</v>
      </c>
    </row>
    <row r="12" spans="1:5" ht="16.2" x14ac:dyDescent="0.3">
      <c r="A12" s="4" t="s">
        <v>72</v>
      </c>
      <c r="B12" s="5">
        <v>4</v>
      </c>
      <c r="C12" s="5">
        <v>3</v>
      </c>
    </row>
    <row r="13" spans="1:5" x14ac:dyDescent="0.3">
      <c r="A13" s="4" t="s">
        <v>11</v>
      </c>
      <c r="B13" s="5">
        <v>0</v>
      </c>
      <c r="C13" s="5">
        <v>0</v>
      </c>
    </row>
    <row r="14" spans="1:5" ht="16.2" x14ac:dyDescent="0.3">
      <c r="A14" s="4" t="s">
        <v>71</v>
      </c>
      <c r="B14" s="8">
        <v>0</v>
      </c>
      <c r="C14" s="7">
        <v>0</v>
      </c>
    </row>
    <row r="15" spans="1:5" ht="16.2" x14ac:dyDescent="0.3">
      <c r="A15" s="4" t="s">
        <v>70</v>
      </c>
      <c r="B15" s="5">
        <v>0</v>
      </c>
      <c r="C15" s="5">
        <v>0</v>
      </c>
    </row>
    <row r="16" spans="1:5" ht="16.2" x14ac:dyDescent="0.3">
      <c r="A16" s="4" t="s">
        <v>69</v>
      </c>
      <c r="B16" s="5">
        <v>0</v>
      </c>
      <c r="C16" s="5">
        <v>0</v>
      </c>
    </row>
    <row r="17" spans="1:6" x14ac:dyDescent="0.3">
      <c r="B17" s="3"/>
    </row>
    <row r="19" spans="1:6" x14ac:dyDescent="0.3">
      <c r="A19" s="27" t="s">
        <v>55</v>
      </c>
      <c r="B19" s="28"/>
      <c r="C19" s="29"/>
      <c r="D19" s="29"/>
      <c r="E19" s="29"/>
      <c r="F19" s="29"/>
    </row>
    <row r="20" spans="1:6" ht="16.2" x14ac:dyDescent="0.3">
      <c r="A20" s="21" t="s">
        <v>59</v>
      </c>
    </row>
    <row r="21" spans="1:6" ht="16.2" x14ac:dyDescent="0.3">
      <c r="A21" s="1" t="s">
        <v>60</v>
      </c>
    </row>
    <row r="22" spans="1:6" x14ac:dyDescent="0.3">
      <c r="A22" s="24" t="s">
        <v>58</v>
      </c>
    </row>
    <row r="23" spans="1:6" ht="16.2" x14ac:dyDescent="0.3">
      <c r="A23" s="1" t="s">
        <v>61</v>
      </c>
    </row>
    <row r="24" spans="1:6" ht="16.2" x14ac:dyDescent="0.3">
      <c r="A24" s="25" t="s">
        <v>62</v>
      </c>
    </row>
    <row r="25" spans="1:6" ht="16.2" x14ac:dyDescent="0.3">
      <c r="A25" s="1" t="s">
        <v>63</v>
      </c>
    </row>
    <row r="26" spans="1:6" ht="16.2" x14ac:dyDescent="0.3">
      <c r="A26" s="25" t="s">
        <v>64</v>
      </c>
    </row>
    <row r="27" spans="1:6" ht="16.2" x14ac:dyDescent="0.3">
      <c r="A27" s="1" t="s">
        <v>65</v>
      </c>
    </row>
    <row r="28" spans="1:6" ht="16.2" x14ac:dyDescent="0.3">
      <c r="A28" s="26" t="s">
        <v>66</v>
      </c>
    </row>
    <row r="29" spans="1:6" ht="16.2" x14ac:dyDescent="0.3">
      <c r="A29" s="16" t="s">
        <v>67</v>
      </c>
    </row>
    <row r="30" spans="1:6" ht="16.2" x14ac:dyDescent="0.3">
      <c r="A30" s="1" t="s">
        <v>68</v>
      </c>
    </row>
  </sheetData>
  <mergeCells count="1">
    <mergeCell ref="A1:D1"/>
  </mergeCells>
  <pageMargins left="0.7" right="0.7" top="0.75" bottom="0.75" header="0.3" footer="0.3"/>
  <pageSetup orientation="portrait" verticalDpi="0" r:id="rId1"/>
  <drawing r:id="rId2"/>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0-000000000000}">
  <dimension ref="A1:P22"/>
  <sheetViews>
    <sheetView zoomScale="103" zoomScaleNormal="130" workbookViewId="0">
      <selection activeCell="A24" sqref="A2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49</v>
      </c>
      <c r="B1" s="44"/>
      <c r="C1" s="44"/>
      <c r="D1" s="44"/>
      <c r="E1" s="2"/>
    </row>
    <row r="2" spans="1:5" x14ac:dyDescent="0.3">
      <c r="B2" s="9" t="s">
        <v>1</v>
      </c>
      <c r="C2" s="10" t="s">
        <v>0</v>
      </c>
    </row>
    <row r="3" spans="1:5" ht="15" thickBot="1" x14ac:dyDescent="0.35">
      <c r="B3" s="20">
        <f>SUM(B4,B5,B6,B7,B8,B9,B10,B11,B12,B13,B16,B15,B14)</f>
        <v>712</v>
      </c>
      <c r="C3" s="12">
        <f>SUM(C4,C5,C6,C7,C8,C9,,C10,C11,C12,C13,C16,C15,C14)</f>
        <v>105</v>
      </c>
    </row>
    <row r="4" spans="1:5" s="5" customFormat="1" x14ac:dyDescent="0.3">
      <c r="A4" s="4" t="s">
        <v>45</v>
      </c>
      <c r="B4" s="5">
        <v>17</v>
      </c>
      <c r="C4" s="5">
        <v>5</v>
      </c>
    </row>
    <row r="5" spans="1:5" x14ac:dyDescent="0.3">
      <c r="A5" s="4" t="s">
        <v>3</v>
      </c>
      <c r="B5" s="5">
        <v>43</v>
      </c>
      <c r="C5" s="5">
        <v>8</v>
      </c>
    </row>
    <row r="6" spans="1:5" x14ac:dyDescent="0.3">
      <c r="A6" s="4" t="s">
        <v>4</v>
      </c>
      <c r="B6" s="19">
        <v>232</v>
      </c>
      <c r="C6" s="6">
        <v>46</v>
      </c>
    </row>
    <row r="7" spans="1:5" x14ac:dyDescent="0.3">
      <c r="A7" s="4" t="s">
        <v>5</v>
      </c>
      <c r="B7" s="18">
        <v>410</v>
      </c>
      <c r="C7" s="6">
        <v>45</v>
      </c>
    </row>
    <row r="8" spans="1:5" x14ac:dyDescent="0.3">
      <c r="A8" s="4" t="s">
        <v>6</v>
      </c>
      <c r="B8" s="18">
        <v>2</v>
      </c>
      <c r="C8" s="18">
        <v>0</v>
      </c>
    </row>
    <row r="9" spans="1:5" x14ac:dyDescent="0.3">
      <c r="A9" s="4" t="s">
        <v>7</v>
      </c>
      <c r="B9" s="5">
        <v>2</v>
      </c>
      <c r="C9" s="5">
        <v>1</v>
      </c>
    </row>
    <row r="10" spans="1:5" x14ac:dyDescent="0.3">
      <c r="A10" s="4" t="s">
        <v>8</v>
      </c>
      <c r="B10" s="5">
        <v>0</v>
      </c>
      <c r="C10" s="5">
        <v>0</v>
      </c>
    </row>
    <row r="11" spans="1:5" x14ac:dyDescent="0.3">
      <c r="A11" s="4" t="s">
        <v>9</v>
      </c>
      <c r="B11" s="5">
        <v>0</v>
      </c>
      <c r="C11" s="5">
        <v>0</v>
      </c>
    </row>
    <row r="12" spans="1:5" x14ac:dyDescent="0.3">
      <c r="A12" s="4" t="s">
        <v>10</v>
      </c>
      <c r="B12" s="5">
        <v>6</v>
      </c>
      <c r="C12" s="5">
        <v>0</v>
      </c>
    </row>
    <row r="13" spans="1:5" x14ac:dyDescent="0.3">
      <c r="A13" s="4" t="s">
        <v>11</v>
      </c>
      <c r="B13" s="5">
        <v>0</v>
      </c>
      <c r="C13" s="5">
        <v>0</v>
      </c>
    </row>
    <row r="14" spans="1:5" x14ac:dyDescent="0.3">
      <c r="A14" s="4" t="s">
        <v>52</v>
      </c>
      <c r="B14" s="8">
        <v>0</v>
      </c>
      <c r="C14" s="7">
        <v>0</v>
      </c>
    </row>
    <row r="15" spans="1:5" x14ac:dyDescent="0.3">
      <c r="A15" s="4" t="s">
        <v>51</v>
      </c>
      <c r="B15" s="5">
        <v>0</v>
      </c>
      <c r="C15" s="5">
        <v>0</v>
      </c>
    </row>
    <row r="16" spans="1:5" x14ac:dyDescent="0.3">
      <c r="A16" s="4" t="s">
        <v>14</v>
      </c>
      <c r="B16" s="5">
        <v>0</v>
      </c>
      <c r="C16" s="5">
        <v>0</v>
      </c>
    </row>
    <row r="17" spans="1:2" x14ac:dyDescent="0.3">
      <c r="B17" s="3"/>
    </row>
    <row r="19" spans="1:2" x14ac:dyDescent="0.3">
      <c r="A19" s="21"/>
    </row>
    <row r="20" spans="1:2" x14ac:dyDescent="0.3">
      <c r="A20" s="21" t="s">
        <v>50</v>
      </c>
    </row>
    <row r="21" spans="1:2" x14ac:dyDescent="0.3">
      <c r="A21" s="1" t="s">
        <v>54</v>
      </c>
    </row>
    <row r="22" spans="1:2" x14ac:dyDescent="0.3">
      <c r="A22" s="1" t="s">
        <v>53</v>
      </c>
    </row>
  </sheetData>
  <mergeCells count="1">
    <mergeCell ref="A1:D1"/>
  </mergeCells>
  <pageMargins left="0.7" right="0.7" top="0.75" bottom="0.75" header="0.3" footer="0.3"/>
  <pageSetup orientation="portrait" verticalDpi="0" r:id="rId1"/>
  <drawing r:id="rId2"/>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dimension ref="A1:P19"/>
  <sheetViews>
    <sheetView zoomScale="103" zoomScaleNormal="130" workbookViewId="0">
      <selection activeCell="A24" sqref="A2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48</v>
      </c>
      <c r="B1" s="44"/>
      <c r="C1" s="44"/>
      <c r="D1" s="44"/>
      <c r="E1" s="2"/>
    </row>
    <row r="2" spans="1:5" x14ac:dyDescent="0.3">
      <c r="B2" s="9" t="s">
        <v>1</v>
      </c>
      <c r="C2" s="10" t="s">
        <v>0</v>
      </c>
    </row>
    <row r="3" spans="1:5" ht="15" thickBot="1" x14ac:dyDescent="0.35">
      <c r="B3" s="20">
        <f>SUM(B4,B5,B6,B7,B8,B9,B10,B11,B12,B13,B16,B15,B14)</f>
        <v>759</v>
      </c>
      <c r="C3" s="12">
        <f>SUM(C4,C5,C6,C7,C8,C9,,C10,C11,C12,C13,C16,C15,C14)</f>
        <v>129</v>
      </c>
    </row>
    <row r="4" spans="1:5" s="5" customFormat="1" x14ac:dyDescent="0.3">
      <c r="A4" s="4" t="s">
        <v>2</v>
      </c>
      <c r="B4" s="5">
        <v>15</v>
      </c>
      <c r="C4" s="5">
        <v>7</v>
      </c>
    </row>
    <row r="5" spans="1:5" x14ac:dyDescent="0.3">
      <c r="A5" s="4" t="s">
        <v>3</v>
      </c>
      <c r="B5" s="5">
        <v>38</v>
      </c>
      <c r="C5" s="5">
        <v>8</v>
      </c>
    </row>
    <row r="6" spans="1:5" x14ac:dyDescent="0.3">
      <c r="A6" s="4" t="s">
        <v>4</v>
      </c>
      <c r="B6" s="19">
        <v>256</v>
      </c>
      <c r="C6" s="6">
        <v>61</v>
      </c>
    </row>
    <row r="7" spans="1:5" x14ac:dyDescent="0.3">
      <c r="A7" s="4" t="s">
        <v>5</v>
      </c>
      <c r="B7" s="18">
        <v>437</v>
      </c>
      <c r="C7" s="6">
        <v>50</v>
      </c>
    </row>
    <row r="8" spans="1:5" x14ac:dyDescent="0.3">
      <c r="A8" s="4" t="s">
        <v>6</v>
      </c>
      <c r="B8" s="18">
        <v>2</v>
      </c>
      <c r="C8" s="18">
        <v>0</v>
      </c>
    </row>
    <row r="9" spans="1:5" x14ac:dyDescent="0.3">
      <c r="A9" s="4" t="s">
        <v>7</v>
      </c>
      <c r="B9" s="5">
        <v>2</v>
      </c>
      <c r="C9" s="5">
        <v>1</v>
      </c>
    </row>
    <row r="10" spans="1:5" x14ac:dyDescent="0.3">
      <c r="A10" s="4" t="s">
        <v>8</v>
      </c>
      <c r="B10" s="5">
        <v>0</v>
      </c>
      <c r="C10" s="5">
        <v>0</v>
      </c>
    </row>
    <row r="11" spans="1:5" x14ac:dyDescent="0.3">
      <c r="A11" s="4" t="s">
        <v>9</v>
      </c>
      <c r="B11" s="5">
        <v>0</v>
      </c>
      <c r="C11" s="5">
        <v>0</v>
      </c>
    </row>
    <row r="12" spans="1:5" x14ac:dyDescent="0.3">
      <c r="A12" s="4" t="s">
        <v>10</v>
      </c>
      <c r="B12" s="5">
        <v>9</v>
      </c>
      <c r="C12" s="5">
        <v>2</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19" spans="1:2" x14ac:dyDescent="0.3">
      <c r="A19" s="21"/>
    </row>
  </sheetData>
  <mergeCells count="1">
    <mergeCell ref="A1:D1"/>
  </mergeCells>
  <pageMargins left="0.7" right="0.7" top="0.75" bottom="0.75" header="0.3" footer="0.3"/>
  <pageSetup orientation="portrait" verticalDpi="0" r:id="rId1"/>
  <drawing r:id="rId2"/>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0-000000000000}">
  <dimension ref="A1:P19"/>
  <sheetViews>
    <sheetView zoomScale="103" zoomScaleNormal="130" workbookViewId="0">
      <selection activeCell="A24" sqref="A2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47</v>
      </c>
      <c r="B1" s="44"/>
      <c r="C1" s="44"/>
      <c r="D1" s="44"/>
      <c r="E1" s="2"/>
    </row>
    <row r="2" spans="1:5" x14ac:dyDescent="0.3">
      <c r="B2" s="9" t="s">
        <v>1</v>
      </c>
      <c r="C2" s="10" t="s">
        <v>0</v>
      </c>
    </row>
    <row r="3" spans="1:5" ht="15" thickBot="1" x14ac:dyDescent="0.35">
      <c r="B3" s="20">
        <f>SUM(B4,B5,B6,B7,B8,B9,B10,B11,B12,B13,B16,B15,B14)</f>
        <v>588</v>
      </c>
      <c r="C3" s="12">
        <f>SUM(C4,C5,C6,C7,C8,C9,,C10,C11,C12,C13,C16,C15,C14)</f>
        <v>119</v>
      </c>
    </row>
    <row r="4" spans="1:5" s="5" customFormat="1" x14ac:dyDescent="0.3">
      <c r="A4" s="4" t="s">
        <v>45</v>
      </c>
      <c r="B4" s="5">
        <v>11</v>
      </c>
      <c r="C4" s="5">
        <v>6</v>
      </c>
    </row>
    <row r="5" spans="1:5" x14ac:dyDescent="0.3">
      <c r="A5" s="4" t="s">
        <v>3</v>
      </c>
      <c r="B5" s="5">
        <v>37</v>
      </c>
      <c r="C5" s="5">
        <v>6</v>
      </c>
    </row>
    <row r="6" spans="1:5" x14ac:dyDescent="0.3">
      <c r="A6" s="4" t="s">
        <v>4</v>
      </c>
      <c r="B6" s="19">
        <v>73</v>
      </c>
      <c r="C6" s="6">
        <v>48</v>
      </c>
    </row>
    <row r="7" spans="1:5" x14ac:dyDescent="0.3">
      <c r="A7" s="4" t="s">
        <v>5</v>
      </c>
      <c r="B7" s="18">
        <v>459</v>
      </c>
      <c r="C7" s="6">
        <v>56</v>
      </c>
    </row>
    <row r="8" spans="1:5" x14ac:dyDescent="0.3">
      <c r="A8" s="4" t="s">
        <v>6</v>
      </c>
      <c r="B8" s="18">
        <v>2</v>
      </c>
      <c r="C8" s="18">
        <v>1</v>
      </c>
    </row>
    <row r="9" spans="1:5" x14ac:dyDescent="0.3">
      <c r="A9" s="4" t="s">
        <v>7</v>
      </c>
      <c r="B9" s="5">
        <v>2</v>
      </c>
      <c r="C9" s="5">
        <v>1</v>
      </c>
    </row>
    <row r="10" spans="1:5" x14ac:dyDescent="0.3">
      <c r="A10" s="4" t="s">
        <v>8</v>
      </c>
      <c r="B10" s="5">
        <v>0</v>
      </c>
      <c r="C10" s="5">
        <v>0</v>
      </c>
    </row>
    <row r="11" spans="1:5" x14ac:dyDescent="0.3">
      <c r="A11" s="4" t="s">
        <v>9</v>
      </c>
      <c r="B11" s="5">
        <v>0</v>
      </c>
      <c r="C11" s="5">
        <v>0</v>
      </c>
    </row>
    <row r="12" spans="1:5" x14ac:dyDescent="0.3">
      <c r="A12" s="4" t="s">
        <v>10</v>
      </c>
      <c r="B12" s="5">
        <v>4</v>
      </c>
      <c r="C12" s="5">
        <v>1</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19" spans="1:2" x14ac:dyDescent="0.3">
      <c r="A19" s="21" t="s">
        <v>46</v>
      </c>
    </row>
  </sheetData>
  <mergeCells count="1">
    <mergeCell ref="A1:D1"/>
  </mergeCells>
  <pageMargins left="0.7" right="0.7" top="0.75" bottom="0.75" header="0.3" footer="0.3"/>
  <pageSetup orientation="portrait" verticalDpi="0" r:id="rId1"/>
  <drawing r:id="rId2"/>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0-000000000000}">
  <dimension ref="A1:P19"/>
  <sheetViews>
    <sheetView zoomScale="103" zoomScaleNormal="130" workbookViewId="0">
      <selection activeCell="A24" sqref="A2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44</v>
      </c>
      <c r="B1" s="44"/>
      <c r="C1" s="44"/>
      <c r="D1" s="44"/>
      <c r="E1" s="2"/>
    </row>
    <row r="2" spans="1:5" x14ac:dyDescent="0.3">
      <c r="B2" s="9" t="s">
        <v>1</v>
      </c>
      <c r="C2" s="10" t="s">
        <v>0</v>
      </c>
    </row>
    <row r="3" spans="1:5" ht="15" thickBot="1" x14ac:dyDescent="0.35">
      <c r="B3" s="20">
        <f>SUM(B4,B5,B6,B7,B8,B9,B10,B11,B12,B13,B16,B15,B14)</f>
        <v>778</v>
      </c>
      <c r="C3" s="12">
        <f>SUM(C4,C5,C6,C7,C8,C9,,C10,C11,C12,C13,C16,C15,C14)</f>
        <v>150</v>
      </c>
    </row>
    <row r="4" spans="1:5" s="5" customFormat="1" x14ac:dyDescent="0.3">
      <c r="A4" s="4" t="s">
        <v>2</v>
      </c>
      <c r="B4" s="5">
        <v>11</v>
      </c>
      <c r="C4" s="5">
        <v>6</v>
      </c>
    </row>
    <row r="5" spans="1:5" x14ac:dyDescent="0.3">
      <c r="A5" s="4" t="s">
        <v>3</v>
      </c>
      <c r="B5" s="5">
        <v>33</v>
      </c>
      <c r="C5" s="5">
        <v>7</v>
      </c>
    </row>
    <row r="6" spans="1:5" x14ac:dyDescent="0.3">
      <c r="A6" s="4" t="s">
        <v>4</v>
      </c>
      <c r="B6" s="19">
        <v>265</v>
      </c>
      <c r="C6" s="6">
        <v>76</v>
      </c>
    </row>
    <row r="7" spans="1:5" x14ac:dyDescent="0.3">
      <c r="A7" s="4" t="s">
        <v>5</v>
      </c>
      <c r="B7" s="18">
        <v>463</v>
      </c>
      <c r="C7" s="6">
        <v>57</v>
      </c>
    </row>
    <row r="8" spans="1:5" x14ac:dyDescent="0.3">
      <c r="A8" s="4" t="s">
        <v>6</v>
      </c>
      <c r="B8" s="18">
        <v>1</v>
      </c>
      <c r="C8" s="18">
        <v>0</v>
      </c>
    </row>
    <row r="9" spans="1:5" x14ac:dyDescent="0.3">
      <c r="A9" s="4" t="s">
        <v>7</v>
      </c>
      <c r="B9" s="5">
        <v>2</v>
      </c>
      <c r="C9" s="5">
        <v>1</v>
      </c>
    </row>
    <row r="10" spans="1:5" x14ac:dyDescent="0.3">
      <c r="A10" s="4" t="s">
        <v>8</v>
      </c>
      <c r="B10" s="5">
        <v>0</v>
      </c>
      <c r="C10" s="5">
        <v>0</v>
      </c>
    </row>
    <row r="11" spans="1:5" x14ac:dyDescent="0.3">
      <c r="A11" s="4" t="s">
        <v>9</v>
      </c>
      <c r="B11" s="5">
        <v>0</v>
      </c>
      <c r="C11" s="5">
        <v>0</v>
      </c>
    </row>
    <row r="12" spans="1:5" x14ac:dyDescent="0.3">
      <c r="A12" s="4" t="s">
        <v>10</v>
      </c>
      <c r="B12" s="5">
        <v>3</v>
      </c>
      <c r="C12" s="5">
        <v>3</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19" spans="1:2" x14ac:dyDescent="0.3">
      <c r="A19" s="21"/>
    </row>
  </sheetData>
  <mergeCells count="1">
    <mergeCell ref="A1:D1"/>
  </mergeCells>
  <pageMargins left="0.7" right="0.7" top="0.75" bottom="0.75" header="0.3" footer="0.3"/>
  <pageSetup orientation="portrait" verticalDpi="0" r:id="rId1"/>
  <drawing r:id="rId2"/>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0-000000000000}">
  <dimension ref="A1:P19"/>
  <sheetViews>
    <sheetView zoomScale="103" zoomScaleNormal="130" workbookViewId="0">
      <selection activeCell="A24" sqref="A2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43</v>
      </c>
      <c r="B1" s="44"/>
      <c r="C1" s="44"/>
      <c r="D1" s="44"/>
      <c r="E1" s="2"/>
    </row>
    <row r="2" spans="1:5" x14ac:dyDescent="0.3">
      <c r="B2" s="9" t="s">
        <v>1</v>
      </c>
      <c r="C2" s="10" t="s">
        <v>0</v>
      </c>
    </row>
    <row r="3" spans="1:5" ht="15" thickBot="1" x14ac:dyDescent="0.35">
      <c r="B3" s="20">
        <f>SUM(B4,B5,B6,B7,B8,B9,B10,B11,B12,B13,B16,B15,B14)</f>
        <v>953</v>
      </c>
      <c r="C3" s="12">
        <f>SUM(C4,C5,C6,C7,C8,C9,,C10,C11,C12,C13,C16,C15,C14)</f>
        <v>161</v>
      </c>
    </row>
    <row r="4" spans="1:5" s="5" customFormat="1" x14ac:dyDescent="0.3">
      <c r="A4" s="4" t="s">
        <v>2</v>
      </c>
      <c r="B4" s="5">
        <v>10</v>
      </c>
      <c r="C4" s="5">
        <v>5</v>
      </c>
    </row>
    <row r="5" spans="1:5" x14ac:dyDescent="0.3">
      <c r="A5" s="4" t="s">
        <v>3</v>
      </c>
      <c r="B5" s="5">
        <v>34</v>
      </c>
      <c r="C5" s="5">
        <v>6</v>
      </c>
    </row>
    <row r="6" spans="1:5" x14ac:dyDescent="0.3">
      <c r="A6" s="4" t="s">
        <v>4</v>
      </c>
      <c r="B6" s="19">
        <v>331</v>
      </c>
      <c r="C6" s="6">
        <v>82</v>
      </c>
    </row>
    <row r="7" spans="1:5" x14ac:dyDescent="0.3">
      <c r="A7" s="4" t="s">
        <v>5</v>
      </c>
      <c r="B7" s="18">
        <v>572</v>
      </c>
      <c r="C7" s="6">
        <v>65</v>
      </c>
    </row>
    <row r="8" spans="1:5" x14ac:dyDescent="0.3">
      <c r="A8" s="4" t="s">
        <v>6</v>
      </c>
      <c r="B8" s="18">
        <v>2</v>
      </c>
      <c r="C8" s="18">
        <v>1</v>
      </c>
    </row>
    <row r="9" spans="1:5" x14ac:dyDescent="0.3">
      <c r="A9" s="4" t="s">
        <v>7</v>
      </c>
      <c r="B9" s="5">
        <v>2</v>
      </c>
      <c r="C9" s="5">
        <v>1</v>
      </c>
    </row>
    <row r="10" spans="1:5" x14ac:dyDescent="0.3">
      <c r="A10" s="4" t="s">
        <v>8</v>
      </c>
      <c r="B10" s="5">
        <v>0</v>
      </c>
      <c r="C10" s="5">
        <v>0</v>
      </c>
    </row>
    <row r="11" spans="1:5" x14ac:dyDescent="0.3">
      <c r="A11" s="4" t="s">
        <v>9</v>
      </c>
      <c r="B11" s="5">
        <v>0</v>
      </c>
      <c r="C11" s="5">
        <v>0</v>
      </c>
    </row>
    <row r="12" spans="1:5" x14ac:dyDescent="0.3">
      <c r="A12" s="4" t="s">
        <v>10</v>
      </c>
      <c r="B12" s="5">
        <v>2</v>
      </c>
      <c r="C12" s="5">
        <v>1</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19" spans="1:2" x14ac:dyDescent="0.3">
      <c r="A19" s="21"/>
    </row>
  </sheetData>
  <mergeCells count="1">
    <mergeCell ref="A1:D1"/>
  </mergeCells>
  <pageMargins left="0.7" right="0.7" top="0.75" bottom="0.75" header="0.3" footer="0.3"/>
  <pageSetup orientation="portrait" verticalDpi="0" r:id="rId1"/>
  <drawing r:id="rId2"/>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0-000000000000}">
  <dimension ref="A1:P19"/>
  <sheetViews>
    <sheetView zoomScale="103" zoomScaleNormal="130" workbookViewId="0">
      <selection activeCell="A24" sqref="A2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42</v>
      </c>
      <c r="B1" s="44"/>
      <c r="C1" s="44"/>
      <c r="D1" s="44"/>
      <c r="E1" s="2"/>
    </row>
    <row r="2" spans="1:5" x14ac:dyDescent="0.3">
      <c r="B2" s="9" t="s">
        <v>1</v>
      </c>
      <c r="C2" s="10" t="s">
        <v>0</v>
      </c>
    </row>
    <row r="3" spans="1:5" ht="15" thickBot="1" x14ac:dyDescent="0.35">
      <c r="B3" s="20">
        <f>SUM(B4,B5,B6,B7,B8,B9,B10,B11,B12,B13,B16,B15,B14)</f>
        <v>1057</v>
      </c>
      <c r="C3" s="12">
        <f>SUM(C4,C5,C6,C7,C8,C9,,C10,C11,C12,C13,C16,C15,C14)</f>
        <v>179</v>
      </c>
    </row>
    <row r="4" spans="1:5" s="5" customFormat="1" x14ac:dyDescent="0.3">
      <c r="A4" s="4" t="s">
        <v>2</v>
      </c>
      <c r="B4" s="5">
        <v>11</v>
      </c>
      <c r="C4" s="5">
        <v>5</v>
      </c>
    </row>
    <row r="5" spans="1:5" x14ac:dyDescent="0.3">
      <c r="A5" s="4" t="s">
        <v>3</v>
      </c>
      <c r="B5" s="5">
        <v>36</v>
      </c>
      <c r="C5" s="5">
        <v>7</v>
      </c>
    </row>
    <row r="6" spans="1:5" x14ac:dyDescent="0.3">
      <c r="A6" s="4" t="s">
        <v>4</v>
      </c>
      <c r="B6" s="19">
        <v>383</v>
      </c>
      <c r="C6" s="6">
        <v>92</v>
      </c>
    </row>
    <row r="7" spans="1:5" x14ac:dyDescent="0.3">
      <c r="A7" s="4" t="s">
        <v>5</v>
      </c>
      <c r="B7" s="18">
        <v>618</v>
      </c>
      <c r="C7" s="6">
        <v>72</v>
      </c>
    </row>
    <row r="8" spans="1:5" x14ac:dyDescent="0.3">
      <c r="A8" s="4" t="s">
        <v>6</v>
      </c>
      <c r="B8" s="18">
        <v>2</v>
      </c>
      <c r="C8" s="18">
        <v>1</v>
      </c>
    </row>
    <row r="9" spans="1:5" x14ac:dyDescent="0.3">
      <c r="A9" s="4" t="s">
        <v>7</v>
      </c>
      <c r="B9" s="5">
        <v>4</v>
      </c>
      <c r="C9" s="5">
        <v>1</v>
      </c>
    </row>
    <row r="10" spans="1:5" x14ac:dyDescent="0.3">
      <c r="A10" s="4" t="s">
        <v>8</v>
      </c>
      <c r="B10" s="5">
        <v>0</v>
      </c>
      <c r="C10" s="5">
        <v>0</v>
      </c>
    </row>
    <row r="11" spans="1:5" x14ac:dyDescent="0.3">
      <c r="A11" s="4" t="s">
        <v>9</v>
      </c>
      <c r="B11" s="5">
        <v>0</v>
      </c>
      <c r="C11" s="5">
        <v>0</v>
      </c>
    </row>
    <row r="12" spans="1:5" x14ac:dyDescent="0.3">
      <c r="A12" s="4" t="s">
        <v>10</v>
      </c>
      <c r="B12" s="5">
        <v>3</v>
      </c>
      <c r="C12" s="5">
        <v>1</v>
      </c>
    </row>
    <row r="13" spans="1:5" x14ac:dyDescent="0.3">
      <c r="A13" s="4" t="s">
        <v>11</v>
      </c>
      <c r="B13" s="5">
        <v>0</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19" spans="1:2" x14ac:dyDescent="0.3">
      <c r="A19" s="21"/>
    </row>
  </sheetData>
  <mergeCells count="1">
    <mergeCell ref="A1:D1"/>
  </mergeCells>
  <pageMargins left="0.7" right="0.7" top="0.75" bottom="0.75" header="0.3" footer="0.3"/>
  <pageSetup orientation="portrait" verticalDpi="0" r:id="rId1"/>
  <drawing r:id="rId2"/>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0-000000000000}">
  <dimension ref="A1:P19"/>
  <sheetViews>
    <sheetView zoomScale="103" zoomScaleNormal="130" workbookViewId="0">
      <selection activeCell="A24" sqref="A2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41</v>
      </c>
      <c r="B1" s="44"/>
      <c r="C1" s="44"/>
      <c r="D1" s="44"/>
      <c r="E1" s="2"/>
    </row>
    <row r="2" spans="1:5" x14ac:dyDescent="0.3">
      <c r="B2" s="9" t="s">
        <v>1</v>
      </c>
      <c r="C2" s="10" t="s">
        <v>0</v>
      </c>
    </row>
    <row r="3" spans="1:5" ht="15" thickBot="1" x14ac:dyDescent="0.35">
      <c r="B3" s="20">
        <f>SUM(B4,B5,B6,B7,B8,B9,B10,B11,B12,B13,B16,B15,B14)</f>
        <v>1175</v>
      </c>
      <c r="C3" s="12">
        <f>SUM(C4,C5,C6,C7,C8,C9,,C10,C11,C12,C13,C16,C15,C14)</f>
        <v>199</v>
      </c>
    </row>
    <row r="4" spans="1:5" s="5" customFormat="1" x14ac:dyDescent="0.3">
      <c r="A4" s="4" t="s">
        <v>2</v>
      </c>
      <c r="B4" s="5">
        <v>12</v>
      </c>
      <c r="C4" s="5">
        <v>3</v>
      </c>
    </row>
    <row r="5" spans="1:5" x14ac:dyDescent="0.3">
      <c r="A5" s="4" t="s">
        <v>3</v>
      </c>
      <c r="B5" s="5">
        <v>46</v>
      </c>
      <c r="C5" s="5">
        <v>7</v>
      </c>
    </row>
    <row r="6" spans="1:5" x14ac:dyDescent="0.3">
      <c r="A6" s="4" t="s">
        <v>4</v>
      </c>
      <c r="B6" s="19">
        <v>419</v>
      </c>
      <c r="C6" s="6">
        <v>104</v>
      </c>
    </row>
    <row r="7" spans="1:5" x14ac:dyDescent="0.3">
      <c r="A7" s="4" t="s">
        <v>5</v>
      </c>
      <c r="B7" s="18">
        <v>689</v>
      </c>
      <c r="C7" s="6">
        <v>82</v>
      </c>
    </row>
    <row r="8" spans="1:5" x14ac:dyDescent="0.3">
      <c r="A8" s="4" t="s">
        <v>6</v>
      </c>
      <c r="B8" s="18">
        <v>2</v>
      </c>
      <c r="C8" s="18">
        <v>1</v>
      </c>
    </row>
    <row r="9" spans="1:5" x14ac:dyDescent="0.3">
      <c r="A9" s="4" t="s">
        <v>7</v>
      </c>
      <c r="B9" s="5">
        <v>4</v>
      </c>
      <c r="C9" s="5">
        <v>1</v>
      </c>
    </row>
    <row r="10" spans="1:5" x14ac:dyDescent="0.3">
      <c r="A10" s="4" t="s">
        <v>8</v>
      </c>
      <c r="B10" s="5">
        <v>0</v>
      </c>
      <c r="C10" s="5">
        <v>0</v>
      </c>
    </row>
    <row r="11" spans="1:5" x14ac:dyDescent="0.3">
      <c r="A11" s="4" t="s">
        <v>9</v>
      </c>
      <c r="B11" s="5">
        <v>0</v>
      </c>
      <c r="C11" s="5">
        <v>0</v>
      </c>
    </row>
    <row r="12" spans="1:5" x14ac:dyDescent="0.3">
      <c r="A12" s="4" t="s">
        <v>10</v>
      </c>
      <c r="B12" s="5">
        <v>2</v>
      </c>
      <c r="C12" s="5">
        <v>1</v>
      </c>
    </row>
    <row r="13" spans="1:5" x14ac:dyDescent="0.3">
      <c r="A13" s="4" t="s">
        <v>11</v>
      </c>
      <c r="B13" s="5">
        <v>1</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19" spans="1:2" x14ac:dyDescent="0.3">
      <c r="A19" s="21"/>
    </row>
  </sheetData>
  <mergeCells count="1">
    <mergeCell ref="A1:D1"/>
  </mergeCells>
  <pageMargins left="0.7" right="0.7" top="0.75" bottom="0.75" header="0.3" footer="0.3"/>
  <pageSetup orientation="portrait" verticalDpi="0" r:id="rId1"/>
  <drawing r:id="rId2"/>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0-000000000000}">
  <dimension ref="A1:P19"/>
  <sheetViews>
    <sheetView zoomScale="103" zoomScaleNormal="130" workbookViewId="0">
      <selection activeCell="A24" sqref="A2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40</v>
      </c>
      <c r="B1" s="44"/>
      <c r="C1" s="44"/>
      <c r="D1" s="44"/>
      <c r="E1" s="2"/>
    </row>
    <row r="2" spans="1:5" x14ac:dyDescent="0.3">
      <c r="B2" s="9" t="s">
        <v>1</v>
      </c>
      <c r="C2" s="10" t="s">
        <v>0</v>
      </c>
    </row>
    <row r="3" spans="1:5" ht="15" thickBot="1" x14ac:dyDescent="0.35">
      <c r="B3" s="20">
        <f>SUM(B4,B5,B6,B7,B8,B9,B10,B11,B12,B13,B16,B15,B14)</f>
        <v>1351</v>
      </c>
      <c r="C3" s="12">
        <f>SUM(C4,C5,C6,C7,C8,C9,,C10,C11,C12,C13,C16,C15,C14)</f>
        <v>242</v>
      </c>
    </row>
    <row r="4" spans="1:5" s="5" customFormat="1" x14ac:dyDescent="0.3">
      <c r="A4" s="4" t="s">
        <v>2</v>
      </c>
      <c r="B4" s="5">
        <v>13</v>
      </c>
      <c r="C4" s="5">
        <v>5</v>
      </c>
    </row>
    <row r="5" spans="1:5" x14ac:dyDescent="0.3">
      <c r="A5" s="4" t="s">
        <v>3</v>
      </c>
      <c r="B5" s="5">
        <v>45</v>
      </c>
      <c r="C5" s="5">
        <v>6</v>
      </c>
    </row>
    <row r="6" spans="1:5" x14ac:dyDescent="0.3">
      <c r="A6" s="4" t="s">
        <v>4</v>
      </c>
      <c r="B6" s="19">
        <v>527</v>
      </c>
      <c r="C6" s="6">
        <v>114</v>
      </c>
    </row>
    <row r="7" spans="1:5" x14ac:dyDescent="0.3">
      <c r="A7" s="4" t="s">
        <v>5</v>
      </c>
      <c r="B7" s="18">
        <v>757</v>
      </c>
      <c r="C7" s="18">
        <v>114</v>
      </c>
    </row>
    <row r="8" spans="1:5" x14ac:dyDescent="0.3">
      <c r="A8" s="4" t="s">
        <v>6</v>
      </c>
      <c r="B8" s="18">
        <v>2</v>
      </c>
      <c r="C8" s="18">
        <v>1</v>
      </c>
    </row>
    <row r="9" spans="1:5" x14ac:dyDescent="0.3">
      <c r="A9" s="4" t="s">
        <v>7</v>
      </c>
      <c r="B9" s="5">
        <v>5</v>
      </c>
      <c r="C9" s="5">
        <v>1</v>
      </c>
    </row>
    <row r="10" spans="1:5" x14ac:dyDescent="0.3">
      <c r="A10" s="4" t="s">
        <v>8</v>
      </c>
      <c r="B10" s="5">
        <v>0</v>
      </c>
      <c r="C10" s="5">
        <v>0</v>
      </c>
    </row>
    <row r="11" spans="1:5" x14ac:dyDescent="0.3">
      <c r="A11" s="4" t="s">
        <v>9</v>
      </c>
      <c r="B11" s="5">
        <v>0</v>
      </c>
      <c r="C11" s="5">
        <v>0</v>
      </c>
    </row>
    <row r="12" spans="1:5" x14ac:dyDescent="0.3">
      <c r="A12" s="4" t="s">
        <v>10</v>
      </c>
      <c r="B12" s="5">
        <v>1</v>
      </c>
      <c r="C12" s="5">
        <v>1</v>
      </c>
    </row>
    <row r="13" spans="1:5" x14ac:dyDescent="0.3">
      <c r="A13" s="4" t="s">
        <v>11</v>
      </c>
      <c r="B13" s="5">
        <v>1</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19" spans="1:2" x14ac:dyDescent="0.3">
      <c r="A19" s="21"/>
    </row>
  </sheetData>
  <mergeCells count="1">
    <mergeCell ref="A1:D1"/>
  </mergeCells>
  <pageMargins left="0.7" right="0.7" top="0.75" bottom="0.75" header="0.3" footer="0.3"/>
  <pageSetup orientation="portrait" verticalDpi="0" r:id="rId1"/>
  <drawing r:id="rId2"/>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1-000000000000}">
  <dimension ref="A1:P19"/>
  <sheetViews>
    <sheetView zoomScale="103" zoomScaleNormal="130" workbookViewId="0">
      <selection activeCell="A24" sqref="A2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39</v>
      </c>
      <c r="B1" s="44"/>
      <c r="C1" s="44"/>
      <c r="D1" s="44"/>
      <c r="E1" s="2"/>
    </row>
    <row r="2" spans="1:5" x14ac:dyDescent="0.3">
      <c r="B2" s="9" t="s">
        <v>1</v>
      </c>
      <c r="C2" s="10" t="s">
        <v>0</v>
      </c>
    </row>
    <row r="3" spans="1:5" ht="15" thickBot="1" x14ac:dyDescent="0.35">
      <c r="B3" s="20">
        <f>SUM(B4,B5,B6,B7,B8,B9,B10,B11,B12,B13,B16,B15,B14)</f>
        <v>1448</v>
      </c>
      <c r="C3" s="12">
        <f>SUM(C4,C5,C6,C7,C8,C9,,C10,C11,C12,C13,C16,C15,C14)</f>
        <v>249</v>
      </c>
    </row>
    <row r="4" spans="1:5" s="5" customFormat="1" x14ac:dyDescent="0.3">
      <c r="A4" s="4" t="s">
        <v>2</v>
      </c>
      <c r="B4" s="5">
        <v>16</v>
      </c>
      <c r="C4" s="5">
        <v>4</v>
      </c>
    </row>
    <row r="5" spans="1:5" x14ac:dyDescent="0.3">
      <c r="A5" s="4" t="s">
        <v>3</v>
      </c>
      <c r="B5" s="5">
        <v>46</v>
      </c>
      <c r="C5" s="5">
        <v>6</v>
      </c>
    </row>
    <row r="6" spans="1:5" x14ac:dyDescent="0.3">
      <c r="A6" s="4" t="s">
        <v>4</v>
      </c>
      <c r="B6" s="19">
        <v>580</v>
      </c>
      <c r="C6" s="6">
        <v>118</v>
      </c>
    </row>
    <row r="7" spans="1:5" x14ac:dyDescent="0.3">
      <c r="A7" s="4" t="s">
        <v>5</v>
      </c>
      <c r="B7" s="18">
        <v>797</v>
      </c>
      <c r="C7" s="18">
        <v>117</v>
      </c>
    </row>
    <row r="8" spans="1:5" x14ac:dyDescent="0.3">
      <c r="A8" s="4" t="s">
        <v>6</v>
      </c>
      <c r="B8" s="18">
        <v>2</v>
      </c>
      <c r="C8" s="18">
        <v>2</v>
      </c>
    </row>
    <row r="9" spans="1:5" x14ac:dyDescent="0.3">
      <c r="A9" s="4" t="s">
        <v>7</v>
      </c>
      <c r="B9" s="5">
        <v>5</v>
      </c>
      <c r="C9" s="5">
        <v>1</v>
      </c>
    </row>
    <row r="10" spans="1:5" x14ac:dyDescent="0.3">
      <c r="A10" s="4" t="s">
        <v>8</v>
      </c>
      <c r="B10" s="5">
        <v>0</v>
      </c>
      <c r="C10" s="5">
        <v>0</v>
      </c>
    </row>
    <row r="11" spans="1:5" x14ac:dyDescent="0.3">
      <c r="A11" s="4" t="s">
        <v>9</v>
      </c>
      <c r="B11" s="5">
        <v>0</v>
      </c>
      <c r="C11" s="5">
        <v>0</v>
      </c>
    </row>
    <row r="12" spans="1:5" x14ac:dyDescent="0.3">
      <c r="A12" s="4" t="s">
        <v>10</v>
      </c>
      <c r="B12" s="5">
        <v>1</v>
      </c>
      <c r="C12" s="5">
        <v>1</v>
      </c>
    </row>
    <row r="13" spans="1:5" x14ac:dyDescent="0.3">
      <c r="A13" s="4" t="s">
        <v>11</v>
      </c>
      <c r="B13" s="5">
        <v>1</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19" spans="1:2" x14ac:dyDescent="0.3">
      <c r="A19" s="21"/>
    </row>
  </sheetData>
  <mergeCells count="1">
    <mergeCell ref="A1:D1"/>
  </mergeCells>
  <pageMargins left="0.7" right="0.7" top="0.75" bottom="0.75" header="0.3" footer="0.3"/>
  <pageSetup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27"/>
  <sheetViews>
    <sheetView zoomScaleNormal="100" workbookViewId="0">
      <selection sqref="A1:D1"/>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421</v>
      </c>
      <c r="B1" s="44"/>
      <c r="C1" s="44"/>
      <c r="D1" s="44"/>
      <c r="E1" s="2"/>
    </row>
    <row r="2" spans="1:5" x14ac:dyDescent="0.3">
      <c r="B2" s="9" t="s">
        <v>1</v>
      </c>
      <c r="C2" s="10" t="s">
        <v>0</v>
      </c>
    </row>
    <row r="3" spans="1:5" ht="15" thickBot="1" x14ac:dyDescent="0.35">
      <c r="B3" s="20">
        <f>SUM(B4,B5,B6,B7,B8,B9,B10,B11,B12,B13,B16,B15,B14)</f>
        <v>3694</v>
      </c>
      <c r="C3" s="12">
        <f>SUM(C4,C5,C6,C7,C8,C9,,C10,C11,C12,C13,C16,C15,C14)</f>
        <v>405</v>
      </c>
    </row>
    <row r="4" spans="1:5" s="5" customFormat="1" x14ac:dyDescent="0.3">
      <c r="A4" s="4" t="s">
        <v>2</v>
      </c>
      <c r="B4" s="5">
        <v>255</v>
      </c>
      <c r="C4" s="5">
        <v>52</v>
      </c>
    </row>
    <row r="5" spans="1:5" x14ac:dyDescent="0.3">
      <c r="A5" s="4" t="s">
        <v>3</v>
      </c>
      <c r="B5" s="30">
        <v>956</v>
      </c>
      <c r="C5" s="30">
        <v>56</v>
      </c>
      <c r="D5" s="5"/>
    </row>
    <row r="6" spans="1:5" x14ac:dyDescent="0.3">
      <c r="A6" s="4" t="s">
        <v>4</v>
      </c>
      <c r="B6" s="19">
        <v>667</v>
      </c>
      <c r="C6" s="6">
        <v>161</v>
      </c>
      <c r="D6" s="5"/>
    </row>
    <row r="7" spans="1:5" x14ac:dyDescent="0.3">
      <c r="A7" s="4" t="s">
        <v>5</v>
      </c>
      <c r="B7" s="32">
        <v>1048</v>
      </c>
      <c r="C7" s="5">
        <v>59</v>
      </c>
      <c r="D7" s="5"/>
    </row>
    <row r="8" spans="1:5" s="15" customFormat="1" x14ac:dyDescent="0.3">
      <c r="A8" s="14" t="s">
        <v>6</v>
      </c>
      <c r="B8" s="6">
        <v>42</v>
      </c>
      <c r="C8" s="6">
        <v>13</v>
      </c>
      <c r="D8" s="5"/>
    </row>
    <row r="9" spans="1:5" x14ac:dyDescent="0.3">
      <c r="A9" s="4" t="s">
        <v>7</v>
      </c>
      <c r="B9" s="5">
        <v>129</v>
      </c>
      <c r="C9" s="5">
        <v>16</v>
      </c>
      <c r="D9" s="5"/>
    </row>
    <row r="10" spans="1:5" x14ac:dyDescent="0.3">
      <c r="A10" s="4" t="s">
        <v>8</v>
      </c>
      <c r="B10" s="5">
        <v>165</v>
      </c>
      <c r="C10" s="5">
        <v>14</v>
      </c>
      <c r="D10" s="5"/>
    </row>
    <row r="11" spans="1:5" x14ac:dyDescent="0.3">
      <c r="A11" s="4" t="s">
        <v>9</v>
      </c>
      <c r="B11" s="5">
        <v>22</v>
      </c>
      <c r="C11" s="5">
        <v>0</v>
      </c>
      <c r="D11" s="5"/>
    </row>
    <row r="12" spans="1:5" x14ac:dyDescent="0.3">
      <c r="A12" s="4" t="s">
        <v>10</v>
      </c>
      <c r="B12" s="5">
        <v>306</v>
      </c>
      <c r="C12" s="5">
        <v>19</v>
      </c>
      <c r="D12" s="5"/>
    </row>
    <row r="13" spans="1:5" x14ac:dyDescent="0.3">
      <c r="A13" s="4" t="s">
        <v>11</v>
      </c>
      <c r="B13" s="5">
        <v>33</v>
      </c>
      <c r="C13" s="5">
        <v>6</v>
      </c>
      <c r="D13" s="5"/>
    </row>
    <row r="14" spans="1:5" x14ac:dyDescent="0.3">
      <c r="A14" s="4" t="s">
        <v>12</v>
      </c>
      <c r="B14" s="8">
        <v>38</v>
      </c>
      <c r="C14" s="7">
        <v>9</v>
      </c>
      <c r="D14" s="5"/>
    </row>
    <row r="15" spans="1:5" x14ac:dyDescent="0.3">
      <c r="A15" s="4" t="s">
        <v>13</v>
      </c>
      <c r="B15" s="5">
        <v>0</v>
      </c>
      <c r="C15" s="5">
        <v>0</v>
      </c>
      <c r="D15" s="5" t="s">
        <v>231</v>
      </c>
    </row>
    <row r="16" spans="1:5" x14ac:dyDescent="0.3">
      <c r="A16" s="4" t="s">
        <v>14</v>
      </c>
      <c r="B16" s="5">
        <v>33</v>
      </c>
      <c r="C16" s="5">
        <v>0</v>
      </c>
      <c r="D16" s="5"/>
    </row>
    <row r="17" spans="1:9" x14ac:dyDescent="0.3">
      <c r="B17" s="3"/>
    </row>
    <row r="20" spans="1:9" x14ac:dyDescent="0.3">
      <c r="A20" s="1" t="s">
        <v>122</v>
      </c>
    </row>
    <row r="21" spans="1:9" s="3" customFormat="1" x14ac:dyDescent="0.3">
      <c r="A21" s="33" t="s">
        <v>411</v>
      </c>
      <c r="B21" s="8"/>
    </row>
    <row r="22" spans="1:9" s="3" customFormat="1" x14ac:dyDescent="0.3">
      <c r="A22" s="34" t="s">
        <v>420</v>
      </c>
      <c r="B22" s="8"/>
    </row>
    <row r="23" spans="1:9" s="3" customFormat="1" x14ac:dyDescent="0.3">
      <c r="A23" s="35" t="s">
        <v>402</v>
      </c>
      <c r="B23" s="8"/>
    </row>
    <row r="24" spans="1:9" s="3" customFormat="1" x14ac:dyDescent="0.3">
      <c r="A24" s="33" t="s">
        <v>418</v>
      </c>
      <c r="B24" s="8"/>
    </row>
    <row r="25" spans="1:9" s="3" customFormat="1" x14ac:dyDescent="0.3">
      <c r="A25" s="33" t="s">
        <v>419</v>
      </c>
      <c r="B25" s="8"/>
    </row>
    <row r="26" spans="1:9" s="3" customFormat="1" x14ac:dyDescent="0.3">
      <c r="A26" s="33"/>
      <c r="B26" s="8"/>
    </row>
    <row r="27" spans="1:9" s="3" customFormat="1" x14ac:dyDescent="0.3">
      <c r="A27"/>
      <c r="B27" s="8"/>
      <c r="I27" s="3" t="s">
        <v>414</v>
      </c>
    </row>
  </sheetData>
  <mergeCells count="1">
    <mergeCell ref="A1:D1"/>
  </mergeCells>
  <hyperlinks>
    <hyperlink ref="A21" r:id="rId1" xr:uid="{00000000-0004-0000-0E00-000000000000}"/>
    <hyperlink ref="A22" r:id="rId2" display="**** YT's official website is now informing the number of hospitalizations, which is 2 as of March 7th." xr:uid="{00000000-0004-0000-0E00-000001000000}"/>
    <hyperlink ref="A23" r:id="rId3" xr:uid="{00000000-0004-0000-0E00-000002000000}"/>
    <hyperlink ref="A24" r:id="rId4" xr:uid="{00000000-0004-0000-0E00-000003000000}"/>
    <hyperlink ref="A25" r:id="rId5" xr:uid="{00000000-0004-0000-0E00-000004000000}"/>
  </hyperlinks>
  <pageMargins left="0.7" right="0.7" top="0.75" bottom="0.75" header="0.3" footer="0.3"/>
  <pageSetup orientation="portrait" r:id="rId6"/>
  <drawing r:id="rId7"/>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1-000000000000}">
  <dimension ref="A1:P19"/>
  <sheetViews>
    <sheetView zoomScale="103" zoomScaleNormal="130" workbookViewId="0">
      <selection activeCell="A24" sqref="A2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38</v>
      </c>
      <c r="B1" s="44"/>
      <c r="C1" s="44"/>
      <c r="D1" s="44"/>
      <c r="E1" s="2"/>
    </row>
    <row r="2" spans="1:5" x14ac:dyDescent="0.3">
      <c r="B2" s="9" t="s">
        <v>1</v>
      </c>
      <c r="C2" s="10" t="s">
        <v>0</v>
      </c>
    </row>
    <row r="3" spans="1:5" ht="15" thickBot="1" x14ac:dyDescent="0.35">
      <c r="B3" s="20">
        <f>SUM(B4,B5,B6,B7,B8,B9,B10,B11,B12,B13,B16,B15,B14)</f>
        <v>1567</v>
      </c>
      <c r="C3" s="12">
        <f>SUM(C4,C5,C6,C7,C8,C9,,C10,C11,C12,C13,C16,C15,C14)</f>
        <v>252</v>
      </c>
    </row>
    <row r="4" spans="1:5" s="5" customFormat="1" x14ac:dyDescent="0.3">
      <c r="A4" s="4" t="s">
        <v>2</v>
      </c>
      <c r="B4" s="5">
        <v>21</v>
      </c>
      <c r="C4" s="5">
        <v>5</v>
      </c>
    </row>
    <row r="5" spans="1:5" x14ac:dyDescent="0.3">
      <c r="A5" s="4" t="s">
        <v>36</v>
      </c>
      <c r="B5" s="5">
        <v>44</v>
      </c>
      <c r="C5" s="5">
        <v>6</v>
      </c>
    </row>
    <row r="6" spans="1:5" x14ac:dyDescent="0.3">
      <c r="A6" s="4" t="s">
        <v>4</v>
      </c>
      <c r="B6" s="19">
        <v>635</v>
      </c>
      <c r="C6" s="6">
        <v>117</v>
      </c>
    </row>
    <row r="7" spans="1:5" x14ac:dyDescent="0.3">
      <c r="A7" s="4" t="s">
        <v>5</v>
      </c>
      <c r="B7" s="18">
        <v>858</v>
      </c>
      <c r="C7" s="18">
        <v>121</v>
      </c>
    </row>
    <row r="8" spans="1:5" x14ac:dyDescent="0.3">
      <c r="A8" s="4" t="s">
        <v>6</v>
      </c>
      <c r="B8" s="18">
        <v>3</v>
      </c>
      <c r="C8" s="18">
        <v>2</v>
      </c>
    </row>
    <row r="9" spans="1:5" x14ac:dyDescent="0.3">
      <c r="A9" s="4" t="s">
        <v>7</v>
      </c>
      <c r="B9" s="5">
        <v>4</v>
      </c>
      <c r="C9" s="5">
        <v>0</v>
      </c>
    </row>
    <row r="10" spans="1:5" x14ac:dyDescent="0.3">
      <c r="A10" s="4" t="s">
        <v>8</v>
      </c>
      <c r="B10" s="5">
        <v>0</v>
      </c>
      <c r="C10" s="5">
        <v>0</v>
      </c>
    </row>
    <row r="11" spans="1:5" x14ac:dyDescent="0.3">
      <c r="A11" s="4" t="s">
        <v>9</v>
      </c>
      <c r="B11" s="5">
        <v>0</v>
      </c>
      <c r="C11" s="5">
        <v>0</v>
      </c>
    </row>
    <row r="12" spans="1:5" x14ac:dyDescent="0.3">
      <c r="A12" s="4" t="s">
        <v>10</v>
      </c>
      <c r="B12" s="5">
        <v>1</v>
      </c>
      <c r="C12" s="5">
        <v>1</v>
      </c>
    </row>
    <row r="13" spans="1:5" x14ac:dyDescent="0.3">
      <c r="A13" s="4" t="s">
        <v>11</v>
      </c>
      <c r="B13" s="5">
        <v>1</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19" spans="1:2" x14ac:dyDescent="0.3">
      <c r="A19" s="21" t="s">
        <v>37</v>
      </c>
    </row>
  </sheetData>
  <mergeCells count="1">
    <mergeCell ref="A1:D1"/>
  </mergeCells>
  <pageMargins left="0.7" right="0.7" top="0.75" bottom="0.75" header="0.3" footer="0.3"/>
  <pageSetup orientation="portrait" verticalDpi="0" r:id="rId1"/>
  <drawing r:id="rId2"/>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1-000000000000}">
  <dimension ref="A1:P19"/>
  <sheetViews>
    <sheetView zoomScale="103" zoomScaleNormal="130" workbookViewId="0">
      <selection activeCell="A24" sqref="A2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35</v>
      </c>
      <c r="B1" s="44"/>
      <c r="C1" s="44"/>
      <c r="D1" s="44"/>
      <c r="E1" s="2"/>
    </row>
    <row r="2" spans="1:5" x14ac:dyDescent="0.3">
      <c r="B2" s="9" t="s">
        <v>1</v>
      </c>
      <c r="C2" s="10" t="s">
        <v>0</v>
      </c>
    </row>
    <row r="3" spans="1:5" ht="15" thickBot="1" x14ac:dyDescent="0.35">
      <c r="B3" s="20">
        <f>SUM(B4,B5,B6,B7,B8,B9,B10,B11,B12,B13,B16,B15,B14)</f>
        <v>1760</v>
      </c>
      <c r="C3" s="12">
        <f>SUM(C4,C5,C6,C7,C8,C9,,C10,C11,C12,C13,C16,C15,C14)</f>
        <v>269</v>
      </c>
    </row>
    <row r="4" spans="1:5" s="5" customFormat="1" x14ac:dyDescent="0.3">
      <c r="A4" s="4" t="s">
        <v>2</v>
      </c>
      <c r="B4" s="5">
        <v>26</v>
      </c>
      <c r="C4" s="5">
        <v>6</v>
      </c>
    </row>
    <row r="5" spans="1:5" x14ac:dyDescent="0.3">
      <c r="A5" s="4" t="s">
        <v>3</v>
      </c>
      <c r="B5" s="5">
        <v>48</v>
      </c>
      <c r="C5" s="5">
        <v>6</v>
      </c>
    </row>
    <row r="6" spans="1:5" x14ac:dyDescent="0.3">
      <c r="A6" s="4" t="s">
        <v>4</v>
      </c>
      <c r="B6" s="19">
        <v>776</v>
      </c>
      <c r="C6" s="6">
        <v>121</v>
      </c>
    </row>
    <row r="7" spans="1:5" x14ac:dyDescent="0.3">
      <c r="A7" s="4" t="s">
        <v>5</v>
      </c>
      <c r="B7" s="18">
        <v>899</v>
      </c>
      <c r="C7" s="18">
        <v>131</v>
      </c>
    </row>
    <row r="8" spans="1:5" x14ac:dyDescent="0.3">
      <c r="A8" s="4" t="s">
        <v>6</v>
      </c>
      <c r="B8" s="18">
        <v>3</v>
      </c>
      <c r="C8" s="18">
        <v>2</v>
      </c>
    </row>
    <row r="9" spans="1:5" x14ac:dyDescent="0.3">
      <c r="A9" s="4" t="s">
        <v>7</v>
      </c>
      <c r="B9" s="5">
        <v>5</v>
      </c>
      <c r="C9" s="5">
        <v>1</v>
      </c>
    </row>
    <row r="10" spans="1:5" x14ac:dyDescent="0.3">
      <c r="A10" s="4" t="s">
        <v>8</v>
      </c>
      <c r="B10" s="5">
        <v>0</v>
      </c>
      <c r="C10" s="5">
        <v>0</v>
      </c>
    </row>
    <row r="11" spans="1:5" x14ac:dyDescent="0.3">
      <c r="A11" s="4" t="s">
        <v>9</v>
      </c>
      <c r="B11" s="5">
        <v>0</v>
      </c>
      <c r="C11" s="5">
        <v>0</v>
      </c>
    </row>
    <row r="12" spans="1:5" x14ac:dyDescent="0.3">
      <c r="A12" s="4" t="s">
        <v>10</v>
      </c>
      <c r="B12" s="5">
        <v>2</v>
      </c>
      <c r="C12" s="5">
        <v>2</v>
      </c>
    </row>
    <row r="13" spans="1:5" x14ac:dyDescent="0.3">
      <c r="A13" s="4" t="s">
        <v>11</v>
      </c>
      <c r="B13" s="5">
        <v>1</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19" spans="1:2" x14ac:dyDescent="0.3">
      <c r="A19" s="13"/>
    </row>
  </sheetData>
  <mergeCells count="1">
    <mergeCell ref="A1:D1"/>
  </mergeCells>
  <pageMargins left="0.7" right="0.7" top="0.75" bottom="0.75" header="0.3" footer="0.3"/>
  <pageSetup orientation="portrait" verticalDpi="0" r:id="rId1"/>
  <drawing r:id="rId2"/>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1-000000000000}">
  <dimension ref="A1:P19"/>
  <sheetViews>
    <sheetView zoomScale="103" zoomScaleNormal="130" workbookViewId="0">
      <selection activeCell="A24" sqref="A2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34</v>
      </c>
      <c r="B1" s="44"/>
      <c r="C1" s="44"/>
      <c r="D1" s="44"/>
      <c r="E1" s="2"/>
    </row>
    <row r="2" spans="1:5" x14ac:dyDescent="0.3">
      <c r="B2" s="9" t="s">
        <v>1</v>
      </c>
      <c r="C2" s="10" t="s">
        <v>0</v>
      </c>
    </row>
    <row r="3" spans="1:5" ht="15" thickBot="1" x14ac:dyDescent="0.35">
      <c r="B3" s="20">
        <f>SUM(B4,B5,B6,B7,B8,B9,B10,B11,B12,B13,B16,B15,B14)</f>
        <v>1877</v>
      </c>
      <c r="C3" s="12">
        <f>SUM(C4,C5,C6,C7,C8,C9,,C10,C11,C12,C13,C16,C15,C14)</f>
        <v>301</v>
      </c>
    </row>
    <row r="4" spans="1:5" s="5" customFormat="1" x14ac:dyDescent="0.3">
      <c r="A4" s="4" t="s">
        <v>2</v>
      </c>
      <c r="B4" s="5">
        <v>31</v>
      </c>
      <c r="C4" s="5">
        <v>8</v>
      </c>
    </row>
    <row r="5" spans="1:5" x14ac:dyDescent="0.3">
      <c r="A5" s="4" t="s">
        <v>3</v>
      </c>
      <c r="B5" s="5">
        <v>51</v>
      </c>
      <c r="C5" s="5">
        <v>6</v>
      </c>
    </row>
    <row r="6" spans="1:5" x14ac:dyDescent="0.3">
      <c r="A6" s="4" t="s">
        <v>4</v>
      </c>
      <c r="B6" s="19">
        <v>801</v>
      </c>
      <c r="C6" s="6">
        <v>125</v>
      </c>
    </row>
    <row r="7" spans="1:5" x14ac:dyDescent="0.3">
      <c r="A7" s="4" t="s">
        <v>5</v>
      </c>
      <c r="B7" s="18">
        <v>983</v>
      </c>
      <c r="C7" s="18">
        <v>158</v>
      </c>
    </row>
    <row r="8" spans="1:5" x14ac:dyDescent="0.3">
      <c r="A8" s="4" t="s">
        <v>6</v>
      </c>
      <c r="B8" s="18">
        <v>3</v>
      </c>
      <c r="C8" s="18">
        <v>1</v>
      </c>
    </row>
    <row r="9" spans="1:5" x14ac:dyDescent="0.3">
      <c r="A9" s="4" t="s">
        <v>7</v>
      </c>
      <c r="B9" s="5">
        <v>5</v>
      </c>
      <c r="C9" s="5">
        <v>1</v>
      </c>
    </row>
    <row r="10" spans="1:5" x14ac:dyDescent="0.3">
      <c r="A10" s="4" t="s">
        <v>8</v>
      </c>
      <c r="B10" s="5">
        <v>0</v>
      </c>
      <c r="C10" s="5">
        <v>0</v>
      </c>
    </row>
    <row r="11" spans="1:5" x14ac:dyDescent="0.3">
      <c r="A11" s="4" t="s">
        <v>9</v>
      </c>
      <c r="B11" s="5">
        <v>0</v>
      </c>
      <c r="C11" s="5">
        <v>0</v>
      </c>
    </row>
    <row r="12" spans="1:5" x14ac:dyDescent="0.3">
      <c r="A12" s="4" t="s">
        <v>10</v>
      </c>
      <c r="B12" s="5">
        <v>2</v>
      </c>
      <c r="C12" s="5">
        <v>2</v>
      </c>
    </row>
    <row r="13" spans="1:5" x14ac:dyDescent="0.3">
      <c r="A13" s="4" t="s">
        <v>11</v>
      </c>
      <c r="B13" s="5">
        <v>1</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19" spans="1:2" x14ac:dyDescent="0.3">
      <c r="A19" s="13"/>
    </row>
  </sheetData>
  <mergeCells count="1">
    <mergeCell ref="A1:D1"/>
  </mergeCells>
  <pageMargins left="0.7" right="0.7" top="0.75" bottom="0.75" header="0.3" footer="0.3"/>
  <pageSetup orientation="portrait" verticalDpi="0" r:id="rId1"/>
  <drawing r:id="rId2"/>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1-000000000000}">
  <dimension ref="A1:P19"/>
  <sheetViews>
    <sheetView zoomScale="103" zoomScaleNormal="130" workbookViewId="0">
      <selection activeCell="A24" sqref="A2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33</v>
      </c>
      <c r="B1" s="44"/>
      <c r="C1" s="44"/>
      <c r="D1" s="44"/>
      <c r="E1" s="2"/>
    </row>
    <row r="2" spans="1:5" x14ac:dyDescent="0.3">
      <c r="B2" s="9" t="s">
        <v>1</v>
      </c>
      <c r="C2" s="10" t="s">
        <v>0</v>
      </c>
    </row>
    <row r="3" spans="1:5" ht="15" thickBot="1" x14ac:dyDescent="0.35">
      <c r="B3" s="11">
        <f>SUM(B4,B5,B6,B7,B8,B9,B10,B11,B12,B13,B16,B15,B14)</f>
        <v>1903</v>
      </c>
      <c r="C3" s="12">
        <f>SUM(C4,C5,C6,C7,C8,C9,C10,C11,C12,C13,C16,C15,C14)</f>
        <v>297</v>
      </c>
    </row>
    <row r="4" spans="1:5" s="5" customFormat="1" x14ac:dyDescent="0.3">
      <c r="A4" s="4" t="s">
        <v>2</v>
      </c>
      <c r="B4" s="5">
        <v>34</v>
      </c>
      <c r="C4" s="5">
        <v>6</v>
      </c>
    </row>
    <row r="5" spans="1:5" x14ac:dyDescent="0.3">
      <c r="A5" s="4" t="s">
        <v>3</v>
      </c>
      <c r="B5" s="5">
        <v>52</v>
      </c>
      <c r="C5" s="5">
        <v>6</v>
      </c>
    </row>
    <row r="6" spans="1:5" x14ac:dyDescent="0.3">
      <c r="A6" s="4" t="s">
        <v>4</v>
      </c>
      <c r="B6" s="19">
        <v>781</v>
      </c>
      <c r="C6" s="6">
        <v>118</v>
      </c>
    </row>
    <row r="7" spans="1:5" x14ac:dyDescent="0.3">
      <c r="A7" s="4" t="s">
        <v>5</v>
      </c>
      <c r="B7" s="18">
        <v>1022</v>
      </c>
      <c r="C7" s="18">
        <v>163</v>
      </c>
    </row>
    <row r="8" spans="1:5" x14ac:dyDescent="0.3">
      <c r="A8" s="4" t="s">
        <v>6</v>
      </c>
      <c r="B8" s="5">
        <v>6</v>
      </c>
      <c r="C8" s="5">
        <v>2</v>
      </c>
    </row>
    <row r="9" spans="1:5" x14ac:dyDescent="0.3">
      <c r="A9" s="4" t="s">
        <v>7</v>
      </c>
      <c r="B9" s="7">
        <v>3</v>
      </c>
      <c r="C9" s="7">
        <v>1</v>
      </c>
    </row>
    <row r="10" spans="1:5" x14ac:dyDescent="0.3">
      <c r="A10" s="4" t="s">
        <v>8</v>
      </c>
      <c r="B10" s="5">
        <v>0</v>
      </c>
      <c r="C10" s="5">
        <v>0</v>
      </c>
    </row>
    <row r="11" spans="1:5" x14ac:dyDescent="0.3">
      <c r="A11" s="4" t="s">
        <v>9</v>
      </c>
      <c r="B11" s="5">
        <v>0</v>
      </c>
      <c r="C11" s="5">
        <v>0</v>
      </c>
    </row>
    <row r="12" spans="1:5" x14ac:dyDescent="0.3">
      <c r="A12" s="4" t="s">
        <v>10</v>
      </c>
      <c r="B12" s="5">
        <v>4</v>
      </c>
      <c r="C12" s="5">
        <v>1</v>
      </c>
    </row>
    <row r="13" spans="1:5" x14ac:dyDescent="0.3">
      <c r="A13" s="4" t="s">
        <v>11</v>
      </c>
      <c r="B13" s="5">
        <v>1</v>
      </c>
      <c r="C13" s="5">
        <v>0</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19" spans="1:2" x14ac:dyDescent="0.3">
      <c r="A19" s="13"/>
    </row>
  </sheetData>
  <mergeCells count="1">
    <mergeCell ref="A1:D1"/>
  </mergeCells>
  <pageMargins left="0.7" right="0.7" top="0.75" bottom="0.75" header="0.3" footer="0.3"/>
  <pageSetup orientation="portrait" verticalDpi="0" r:id="rId1"/>
  <drawing r:id="rId2"/>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1-000000000000}">
  <dimension ref="A1:P19"/>
  <sheetViews>
    <sheetView zoomScale="103" zoomScaleNormal="130" workbookViewId="0">
      <selection activeCell="A24" sqref="A2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32</v>
      </c>
      <c r="B1" s="44"/>
      <c r="C1" s="44"/>
      <c r="D1" s="44"/>
      <c r="E1" s="2"/>
    </row>
    <row r="2" spans="1:5" x14ac:dyDescent="0.3">
      <c r="B2" s="9" t="s">
        <v>1</v>
      </c>
      <c r="C2" s="10" t="s">
        <v>0</v>
      </c>
    </row>
    <row r="3" spans="1:5" ht="15" thickBot="1" x14ac:dyDescent="0.35">
      <c r="B3" s="11">
        <f>SUM(B4,B5,B6,B7,B8,B9,B10,B11,B12,B13,B16,B15,B14)</f>
        <v>2022</v>
      </c>
      <c r="C3" s="12">
        <f>SUM(C4,C5,C6,C7,C8,C9,C10,C11,C12,C13,C16,C15,C14)</f>
        <v>324</v>
      </c>
    </row>
    <row r="4" spans="1:5" s="5" customFormat="1" x14ac:dyDescent="0.3">
      <c r="A4" s="4" t="s">
        <v>2</v>
      </c>
      <c r="B4" s="5">
        <v>33</v>
      </c>
      <c r="C4" s="5">
        <v>6</v>
      </c>
    </row>
    <row r="5" spans="1:5" x14ac:dyDescent="0.3">
      <c r="A5" s="4" t="s">
        <v>3</v>
      </c>
      <c r="B5" s="5">
        <v>50</v>
      </c>
      <c r="C5" s="5">
        <v>4</v>
      </c>
    </row>
    <row r="6" spans="1:5" x14ac:dyDescent="0.3">
      <c r="A6" s="4" t="s">
        <v>4</v>
      </c>
      <c r="B6" s="19">
        <v>833</v>
      </c>
      <c r="C6" s="6">
        <v>137</v>
      </c>
    </row>
    <row r="7" spans="1:5" x14ac:dyDescent="0.3">
      <c r="A7" s="4" t="s">
        <v>5</v>
      </c>
      <c r="B7" s="18">
        <v>1093</v>
      </c>
      <c r="C7" s="18">
        <v>172</v>
      </c>
    </row>
    <row r="8" spans="1:5" x14ac:dyDescent="0.3">
      <c r="A8" s="4" t="s">
        <v>6</v>
      </c>
      <c r="B8" s="5">
        <v>8</v>
      </c>
      <c r="C8" s="5">
        <v>3</v>
      </c>
    </row>
    <row r="9" spans="1:5" x14ac:dyDescent="0.3">
      <c r="A9" s="4" t="s">
        <v>7</v>
      </c>
      <c r="B9" s="7">
        <v>0</v>
      </c>
      <c r="C9" s="7">
        <v>0</v>
      </c>
    </row>
    <row r="10" spans="1:5" x14ac:dyDescent="0.3">
      <c r="A10" s="4" t="s">
        <v>8</v>
      </c>
      <c r="B10" s="5">
        <v>0</v>
      </c>
      <c r="C10" s="5">
        <v>0</v>
      </c>
    </row>
    <row r="11" spans="1:5" x14ac:dyDescent="0.3">
      <c r="A11" s="4" t="s">
        <v>9</v>
      </c>
      <c r="B11" s="5">
        <v>0</v>
      </c>
      <c r="C11" s="5">
        <v>0</v>
      </c>
    </row>
    <row r="12" spans="1:5" x14ac:dyDescent="0.3">
      <c r="A12" s="4" t="s">
        <v>10</v>
      </c>
      <c r="B12" s="5">
        <v>4</v>
      </c>
      <c r="C12" s="5">
        <v>1</v>
      </c>
    </row>
    <row r="13" spans="1:5" x14ac:dyDescent="0.3">
      <c r="A13" s="4" t="s">
        <v>11</v>
      </c>
      <c r="B13" s="5">
        <v>1</v>
      </c>
      <c r="C13" s="5">
        <v>1</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19" spans="1:2" x14ac:dyDescent="0.3">
      <c r="A19" s="13"/>
    </row>
  </sheetData>
  <mergeCells count="1">
    <mergeCell ref="A1:D1"/>
  </mergeCells>
  <pageMargins left="0.7" right="0.7" top="0.75" bottom="0.75" header="0.3" footer="0.3"/>
  <pageSetup orientation="portrait" verticalDpi="0" r:id="rId1"/>
  <drawing r:id="rId2"/>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1-000000000000}">
  <dimension ref="A1:P19"/>
  <sheetViews>
    <sheetView zoomScale="103" zoomScaleNormal="130" workbookViewId="0">
      <selection activeCell="A24" sqref="A2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31</v>
      </c>
      <c r="B1" s="44"/>
      <c r="C1" s="44"/>
      <c r="D1" s="44"/>
      <c r="E1" s="2"/>
    </row>
    <row r="2" spans="1:5" x14ac:dyDescent="0.3">
      <c r="B2" s="9" t="s">
        <v>1</v>
      </c>
      <c r="C2" s="10" t="s">
        <v>0</v>
      </c>
    </row>
    <row r="3" spans="1:5" ht="15" thickBot="1" x14ac:dyDescent="0.35">
      <c r="B3" s="11">
        <f>SUM(B4,B5,B6,B7,B8,B9,B10,B11,B12,B13,B16,B15,B14)</f>
        <v>2137</v>
      </c>
      <c r="C3" s="12">
        <f>SUM(C4,C5,C6,C7,C8,C9,C10,C11,C12,C13,C16,C15,C14)</f>
        <v>346</v>
      </c>
    </row>
    <row r="4" spans="1:5" s="5" customFormat="1" x14ac:dyDescent="0.3">
      <c r="A4" s="4" t="s">
        <v>2</v>
      </c>
      <c r="B4" s="5">
        <v>37</v>
      </c>
      <c r="C4" s="5">
        <v>7</v>
      </c>
    </row>
    <row r="5" spans="1:5" x14ac:dyDescent="0.3">
      <c r="A5" s="4" t="s">
        <v>3</v>
      </c>
      <c r="B5" s="5">
        <v>45</v>
      </c>
      <c r="C5" s="5">
        <v>5</v>
      </c>
    </row>
    <row r="6" spans="1:5" x14ac:dyDescent="0.3">
      <c r="A6" s="4" t="s">
        <v>4</v>
      </c>
      <c r="B6" s="19">
        <v>848</v>
      </c>
      <c r="C6" s="6">
        <v>143</v>
      </c>
    </row>
    <row r="7" spans="1:5" x14ac:dyDescent="0.3">
      <c r="A7" s="4" t="s">
        <v>5</v>
      </c>
      <c r="B7" s="18">
        <v>1194</v>
      </c>
      <c r="C7" s="18">
        <v>184</v>
      </c>
    </row>
    <row r="8" spans="1:5" x14ac:dyDescent="0.3">
      <c r="A8" s="4" t="s">
        <v>6</v>
      </c>
      <c r="B8" s="5">
        <v>7</v>
      </c>
      <c r="C8" s="5">
        <v>3</v>
      </c>
    </row>
    <row r="9" spans="1:5" x14ac:dyDescent="0.3">
      <c r="A9" s="4" t="s">
        <v>7</v>
      </c>
      <c r="B9" s="7">
        <v>0</v>
      </c>
      <c r="C9" s="7">
        <v>0</v>
      </c>
    </row>
    <row r="10" spans="1:5" x14ac:dyDescent="0.3">
      <c r="A10" s="4" t="s">
        <v>8</v>
      </c>
      <c r="B10" s="5">
        <v>0</v>
      </c>
      <c r="C10" s="5">
        <v>0</v>
      </c>
    </row>
    <row r="11" spans="1:5" x14ac:dyDescent="0.3">
      <c r="A11" s="4" t="s">
        <v>9</v>
      </c>
      <c r="B11" s="5">
        <v>0</v>
      </c>
      <c r="C11" s="5">
        <v>0</v>
      </c>
    </row>
    <row r="12" spans="1:5" x14ac:dyDescent="0.3">
      <c r="A12" s="4" t="s">
        <v>10</v>
      </c>
      <c r="B12" s="5">
        <v>5</v>
      </c>
      <c r="C12" s="5">
        <v>3</v>
      </c>
    </row>
    <row r="13" spans="1:5" x14ac:dyDescent="0.3">
      <c r="A13" s="4" t="s">
        <v>11</v>
      </c>
      <c r="B13" s="5">
        <v>1</v>
      </c>
      <c r="C13" s="5">
        <v>1</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19" spans="1:2" x14ac:dyDescent="0.3">
      <c r="A19" s="13"/>
    </row>
  </sheetData>
  <mergeCells count="1">
    <mergeCell ref="A1:D1"/>
  </mergeCells>
  <pageMargins left="0.7" right="0.7" top="0.75" bottom="0.75" header="0.3" footer="0.3"/>
  <pageSetup orientation="portrait" verticalDpi="0" r:id="rId1"/>
  <drawing r:id="rId2"/>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1-000000000000}">
  <dimension ref="A1:P19"/>
  <sheetViews>
    <sheetView zoomScale="103" zoomScaleNormal="130" workbookViewId="0">
      <selection activeCell="A24" sqref="A2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30</v>
      </c>
      <c r="B1" s="44"/>
      <c r="C1" s="44"/>
      <c r="D1" s="44"/>
      <c r="E1" s="2"/>
    </row>
    <row r="2" spans="1:5" x14ac:dyDescent="0.3">
      <c r="B2" s="9" t="s">
        <v>1</v>
      </c>
      <c r="C2" s="10" t="s">
        <v>0</v>
      </c>
    </row>
    <row r="3" spans="1:5" ht="15" thickBot="1" x14ac:dyDescent="0.35">
      <c r="B3" s="11">
        <f>SUM(B4,B5,B6,B7,B8,B9,B10,B11,B12,B13,B16,B15,B14)</f>
        <v>2244</v>
      </c>
      <c r="C3" s="12">
        <f>SUM(C4,C5,C6,C7,C8,C9,C10,C11,C12,C13,C16,C15,C14)</f>
        <v>339</v>
      </c>
    </row>
    <row r="4" spans="1:5" s="5" customFormat="1" x14ac:dyDescent="0.3">
      <c r="A4" s="4" t="s">
        <v>2</v>
      </c>
      <c r="B4" s="5">
        <v>41</v>
      </c>
      <c r="C4" s="5">
        <v>8</v>
      </c>
    </row>
    <row r="5" spans="1:5" x14ac:dyDescent="0.3">
      <c r="A5" s="4" t="s">
        <v>3</v>
      </c>
      <c r="B5" s="5">
        <v>46</v>
      </c>
      <c r="C5" s="5">
        <v>6</v>
      </c>
    </row>
    <row r="6" spans="1:5" x14ac:dyDescent="0.3">
      <c r="A6" s="4" t="s">
        <v>4</v>
      </c>
      <c r="B6" s="19">
        <v>878</v>
      </c>
      <c r="C6" s="6">
        <v>148</v>
      </c>
    </row>
    <row r="7" spans="1:5" x14ac:dyDescent="0.3">
      <c r="A7" s="4" t="s">
        <v>5</v>
      </c>
      <c r="B7" s="5">
        <v>1265</v>
      </c>
      <c r="C7" s="18">
        <v>170</v>
      </c>
    </row>
    <row r="8" spans="1:5" x14ac:dyDescent="0.3">
      <c r="A8" s="4" t="s">
        <v>6</v>
      </c>
      <c r="B8" s="5">
        <v>6</v>
      </c>
      <c r="C8" s="5">
        <v>3</v>
      </c>
    </row>
    <row r="9" spans="1:5" x14ac:dyDescent="0.3">
      <c r="A9" s="4" t="s">
        <v>7</v>
      </c>
      <c r="B9" s="7">
        <v>0</v>
      </c>
      <c r="C9" s="7">
        <v>0</v>
      </c>
    </row>
    <row r="10" spans="1:5" x14ac:dyDescent="0.3">
      <c r="A10" s="4" t="s">
        <v>8</v>
      </c>
      <c r="B10" s="5">
        <v>0</v>
      </c>
      <c r="C10" s="5">
        <v>0</v>
      </c>
    </row>
    <row r="11" spans="1:5" x14ac:dyDescent="0.3">
      <c r="A11" s="4" t="s">
        <v>9</v>
      </c>
      <c r="B11" s="5">
        <v>0</v>
      </c>
      <c r="C11" s="5">
        <v>0</v>
      </c>
    </row>
    <row r="12" spans="1:5" x14ac:dyDescent="0.3">
      <c r="A12" s="4" t="s">
        <v>10</v>
      </c>
      <c r="B12" s="5">
        <v>5</v>
      </c>
      <c r="C12" s="5">
        <v>3</v>
      </c>
    </row>
    <row r="13" spans="1:5" x14ac:dyDescent="0.3">
      <c r="A13" s="4" t="s">
        <v>11</v>
      </c>
      <c r="B13" s="5">
        <v>3</v>
      </c>
      <c r="C13" s="5">
        <v>1</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19" spans="1:2" x14ac:dyDescent="0.3">
      <c r="A19" s="13"/>
    </row>
  </sheetData>
  <mergeCells count="1">
    <mergeCell ref="A1:D1"/>
  </mergeCells>
  <pageMargins left="0.7" right="0.7" top="0.75" bottom="0.75" header="0.3" footer="0.3"/>
  <pageSetup orientation="portrait" verticalDpi="0" r:id="rId1"/>
  <drawing r:id="rId2"/>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1-000000000000}">
  <dimension ref="A1:P19"/>
  <sheetViews>
    <sheetView zoomScale="103" zoomScaleNormal="130" workbookViewId="0">
      <selection activeCell="A24" sqref="A2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29</v>
      </c>
      <c r="B1" s="44"/>
      <c r="C1" s="44"/>
      <c r="D1" s="44"/>
      <c r="E1" s="2"/>
    </row>
    <row r="2" spans="1:5" x14ac:dyDescent="0.3">
      <c r="B2" s="9" t="s">
        <v>1</v>
      </c>
      <c r="C2" s="10" t="s">
        <v>0</v>
      </c>
    </row>
    <row r="3" spans="1:5" ht="15" thickBot="1" x14ac:dyDescent="0.35">
      <c r="B3" s="11">
        <f>SUM(B4,B5,B6,B7,B8,B9,B10,B11,B12,B13,B16,B15,B14)</f>
        <v>2441</v>
      </c>
      <c r="C3" s="12">
        <f>SUM(C4,C5,C6,C7,C8,C9,C10,C11,C12,C13,C16,C15,C14)</f>
        <v>368</v>
      </c>
    </row>
    <row r="4" spans="1:5" s="5" customFormat="1" x14ac:dyDescent="0.3">
      <c r="A4" s="4" t="s">
        <v>2</v>
      </c>
      <c r="B4" s="5">
        <v>43</v>
      </c>
      <c r="C4" s="5">
        <v>10</v>
      </c>
    </row>
    <row r="5" spans="1:5" x14ac:dyDescent="0.3">
      <c r="A5" s="4" t="s">
        <v>3</v>
      </c>
      <c r="B5" s="5">
        <v>58</v>
      </c>
      <c r="C5" s="5">
        <v>7</v>
      </c>
    </row>
    <row r="6" spans="1:5" x14ac:dyDescent="0.3">
      <c r="A6" s="4" t="s">
        <v>4</v>
      </c>
      <c r="B6" s="19">
        <v>991</v>
      </c>
      <c r="C6" s="6">
        <v>160</v>
      </c>
    </row>
    <row r="7" spans="1:5" x14ac:dyDescent="0.3">
      <c r="A7" s="4" t="s">
        <v>5</v>
      </c>
      <c r="B7" s="5">
        <v>1333</v>
      </c>
      <c r="C7" s="18">
        <v>183</v>
      </c>
    </row>
    <row r="8" spans="1:5" x14ac:dyDescent="0.3">
      <c r="A8" s="4" t="s">
        <v>6</v>
      </c>
      <c r="B8" s="5">
        <v>8</v>
      </c>
      <c r="C8" s="5">
        <v>4</v>
      </c>
    </row>
    <row r="9" spans="1:5" x14ac:dyDescent="0.3">
      <c r="A9" s="4" t="s">
        <v>7</v>
      </c>
      <c r="B9" s="7">
        <v>0</v>
      </c>
      <c r="C9" s="7">
        <v>0</v>
      </c>
    </row>
    <row r="10" spans="1:5" x14ac:dyDescent="0.3">
      <c r="A10" s="4" t="s">
        <v>8</v>
      </c>
      <c r="B10" s="5">
        <v>1</v>
      </c>
      <c r="C10" s="5">
        <v>0</v>
      </c>
    </row>
    <row r="11" spans="1:5" x14ac:dyDescent="0.3">
      <c r="A11" s="4" t="s">
        <v>9</v>
      </c>
      <c r="B11" s="5">
        <v>0</v>
      </c>
      <c r="C11" s="5">
        <v>0</v>
      </c>
    </row>
    <row r="12" spans="1:5" x14ac:dyDescent="0.3">
      <c r="A12" s="4" t="s">
        <v>10</v>
      </c>
      <c r="B12" s="5">
        <v>4</v>
      </c>
      <c r="C12" s="5">
        <v>3</v>
      </c>
    </row>
    <row r="13" spans="1:5" x14ac:dyDescent="0.3">
      <c r="A13" s="4" t="s">
        <v>11</v>
      </c>
      <c r="B13" s="5">
        <v>3</v>
      </c>
      <c r="C13" s="5">
        <v>1</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19" spans="1:2" x14ac:dyDescent="0.3">
      <c r="A19" s="13"/>
    </row>
  </sheetData>
  <mergeCells count="1">
    <mergeCell ref="A1:D1"/>
  </mergeCells>
  <pageMargins left="0.7" right="0.7" top="0.75" bottom="0.75" header="0.3" footer="0.3"/>
  <pageSetup orientation="portrait" verticalDpi="0" r:id="rId1"/>
  <drawing r:id="rId2"/>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1-000000000000}">
  <dimension ref="A1:P19"/>
  <sheetViews>
    <sheetView zoomScale="103" zoomScaleNormal="130" workbookViewId="0">
      <selection activeCell="A24" sqref="A2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28</v>
      </c>
      <c r="B1" s="44"/>
      <c r="C1" s="44"/>
      <c r="D1" s="44"/>
      <c r="E1" s="2"/>
    </row>
    <row r="2" spans="1:5" x14ac:dyDescent="0.3">
      <c r="B2" s="9" t="s">
        <v>1</v>
      </c>
      <c r="C2" s="10" t="s">
        <v>0</v>
      </c>
    </row>
    <row r="3" spans="1:5" ht="15" thickBot="1" x14ac:dyDescent="0.35">
      <c r="B3" s="11">
        <f>SUM(B4,B5,B6,B7,B8,B9,B10,B11,B12,B13,B16,B15,B14)</f>
        <v>2694</v>
      </c>
      <c r="C3" s="12">
        <f>SUM(C4,C5,C6,C7,C8,C9,C10,C11,C12,C13,C16,C15,C14)</f>
        <v>383</v>
      </c>
    </row>
    <row r="4" spans="1:5" s="5" customFormat="1" x14ac:dyDescent="0.3">
      <c r="A4" s="4" t="s">
        <v>2</v>
      </c>
      <c r="B4" s="5">
        <v>47</v>
      </c>
      <c r="C4" s="5">
        <v>12</v>
      </c>
    </row>
    <row r="5" spans="1:5" x14ac:dyDescent="0.3">
      <c r="A5" s="4" t="s">
        <v>3</v>
      </c>
      <c r="B5" s="5">
        <v>65</v>
      </c>
      <c r="C5" s="5">
        <v>9</v>
      </c>
    </row>
    <row r="6" spans="1:5" x14ac:dyDescent="0.3">
      <c r="A6" s="4" t="s">
        <v>4</v>
      </c>
      <c r="B6" s="19">
        <v>972</v>
      </c>
      <c r="C6" s="6">
        <v>174</v>
      </c>
    </row>
    <row r="7" spans="1:5" x14ac:dyDescent="0.3">
      <c r="A7" s="4" t="s">
        <v>5</v>
      </c>
      <c r="B7" s="5">
        <v>1592</v>
      </c>
      <c r="C7" s="18">
        <v>179</v>
      </c>
    </row>
    <row r="8" spans="1:5" x14ac:dyDescent="0.3">
      <c r="A8" s="4" t="s">
        <v>6</v>
      </c>
      <c r="B8" s="5">
        <v>9</v>
      </c>
      <c r="C8" s="5">
        <v>5</v>
      </c>
    </row>
    <row r="9" spans="1:5" x14ac:dyDescent="0.3">
      <c r="A9" s="4" t="s">
        <v>7</v>
      </c>
      <c r="B9" s="7">
        <v>0</v>
      </c>
      <c r="C9" s="7">
        <v>0</v>
      </c>
    </row>
    <row r="10" spans="1:5" x14ac:dyDescent="0.3">
      <c r="A10" s="4" t="s">
        <v>8</v>
      </c>
      <c r="B10" s="5">
        <v>1</v>
      </c>
      <c r="C10" s="5">
        <v>0</v>
      </c>
    </row>
    <row r="11" spans="1:5" x14ac:dyDescent="0.3">
      <c r="A11" s="4" t="s">
        <v>9</v>
      </c>
      <c r="B11" s="5">
        <v>0</v>
      </c>
      <c r="C11" s="5">
        <v>0</v>
      </c>
    </row>
    <row r="12" spans="1:5" x14ac:dyDescent="0.3">
      <c r="A12" s="4" t="s">
        <v>10</v>
      </c>
      <c r="B12" s="5">
        <v>5</v>
      </c>
      <c r="C12" s="5">
        <v>3</v>
      </c>
    </row>
    <row r="13" spans="1:5" x14ac:dyDescent="0.3">
      <c r="A13" s="4" t="s">
        <v>11</v>
      </c>
      <c r="B13" s="5">
        <v>3</v>
      </c>
      <c r="C13" s="5">
        <v>1</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19" spans="1:2" x14ac:dyDescent="0.3">
      <c r="A19" s="13"/>
    </row>
  </sheetData>
  <mergeCells count="1">
    <mergeCell ref="A1:D1"/>
  </mergeCells>
  <pageMargins left="0.7" right="0.7" top="0.75" bottom="0.75" header="0.3" footer="0.3"/>
  <pageSetup orientation="portrait" verticalDpi="0" r:id="rId1"/>
  <drawing r:id="rId2"/>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1-000000000000}">
  <dimension ref="A1:P19"/>
  <sheetViews>
    <sheetView zoomScale="103" zoomScaleNormal="130" workbookViewId="0">
      <selection activeCell="A24" sqref="A2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27</v>
      </c>
      <c r="B1" s="44"/>
      <c r="C1" s="44"/>
      <c r="D1" s="44"/>
      <c r="E1" s="2"/>
    </row>
    <row r="2" spans="1:5" x14ac:dyDescent="0.3">
      <c r="B2" s="9" t="s">
        <v>1</v>
      </c>
      <c r="C2" s="10" t="s">
        <v>0</v>
      </c>
    </row>
    <row r="3" spans="1:5" ht="15" thickBot="1" x14ac:dyDescent="0.35">
      <c r="B3" s="11">
        <f>SUM(B4,B5,B6,B7,B8,B9,B10,B11,B12,B13,B16,B15,B14)</f>
        <v>2818</v>
      </c>
      <c r="C3" s="12">
        <f>SUM(C4,C5,C6,C7,C8,C9,C10,C11,C12,C13,C16,C15,C14)</f>
        <v>406</v>
      </c>
    </row>
    <row r="4" spans="1:5" s="5" customFormat="1" x14ac:dyDescent="0.3">
      <c r="A4" s="4" t="s">
        <v>2</v>
      </c>
      <c r="B4" s="5">
        <v>58</v>
      </c>
      <c r="C4" s="5">
        <v>12</v>
      </c>
    </row>
    <row r="5" spans="1:5" x14ac:dyDescent="0.3">
      <c r="A5" s="4" t="s">
        <v>3</v>
      </c>
      <c r="B5" s="5">
        <v>65</v>
      </c>
      <c r="C5" s="5">
        <v>10</v>
      </c>
    </row>
    <row r="6" spans="1:5" x14ac:dyDescent="0.3">
      <c r="A6" s="4" t="s">
        <v>4</v>
      </c>
      <c r="B6" s="19">
        <v>1026</v>
      </c>
      <c r="C6" s="6">
        <v>184</v>
      </c>
    </row>
    <row r="7" spans="1:5" x14ac:dyDescent="0.3">
      <c r="A7" s="4" t="s">
        <v>5</v>
      </c>
      <c r="B7" s="5">
        <v>1644</v>
      </c>
      <c r="C7" s="18">
        <v>190</v>
      </c>
    </row>
    <row r="8" spans="1:5" x14ac:dyDescent="0.3">
      <c r="A8" s="4" t="s">
        <v>6</v>
      </c>
      <c r="B8" s="5">
        <v>9</v>
      </c>
      <c r="C8" s="5">
        <v>5</v>
      </c>
    </row>
    <row r="9" spans="1:5" x14ac:dyDescent="0.3">
      <c r="A9" s="4" t="s">
        <v>7</v>
      </c>
      <c r="B9" s="7">
        <v>0</v>
      </c>
      <c r="C9" s="7">
        <v>0</v>
      </c>
    </row>
    <row r="10" spans="1:5" x14ac:dyDescent="0.3">
      <c r="A10" s="4" t="s">
        <v>8</v>
      </c>
      <c r="B10" s="5">
        <v>3</v>
      </c>
      <c r="C10" s="5">
        <v>1</v>
      </c>
    </row>
    <row r="11" spans="1:5" x14ac:dyDescent="0.3">
      <c r="A11" s="4" t="s">
        <v>9</v>
      </c>
      <c r="B11" s="5">
        <v>0</v>
      </c>
      <c r="C11" s="5">
        <v>0</v>
      </c>
    </row>
    <row r="12" spans="1:5" x14ac:dyDescent="0.3">
      <c r="A12" s="4" t="s">
        <v>10</v>
      </c>
      <c r="B12" s="5">
        <v>10</v>
      </c>
      <c r="C12" s="5">
        <v>3</v>
      </c>
    </row>
    <row r="13" spans="1:5" x14ac:dyDescent="0.3">
      <c r="A13" s="4" t="s">
        <v>11</v>
      </c>
      <c r="B13" s="5">
        <v>3</v>
      </c>
      <c r="C13" s="5">
        <v>1</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19" spans="1:2" x14ac:dyDescent="0.3">
      <c r="A19" s="13"/>
    </row>
  </sheetData>
  <mergeCells count="1">
    <mergeCell ref="A1:D1"/>
  </mergeCells>
  <pageMargins left="0.7" right="0.7" top="0.75" bottom="0.75" header="0.3" footer="0.3"/>
  <pageSetup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P27"/>
  <sheetViews>
    <sheetView zoomScaleNormal="100" workbookViewId="0">
      <selection activeCell="C18" sqref="C18"/>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417</v>
      </c>
      <c r="B1" s="44"/>
      <c r="C1" s="44"/>
      <c r="D1" s="44"/>
      <c r="E1" s="2"/>
    </row>
    <row r="2" spans="1:5" x14ac:dyDescent="0.3">
      <c r="B2" s="9" t="s">
        <v>1</v>
      </c>
      <c r="C2" s="10" t="s">
        <v>0</v>
      </c>
    </row>
    <row r="3" spans="1:5" ht="15" thickBot="1" x14ac:dyDescent="0.35">
      <c r="B3" s="20">
        <f>SUM(B4,B5,B6,B7,B8,B9,B10,B11,B12,B13,B16,B15,B14)</f>
        <v>3646</v>
      </c>
      <c r="C3" s="12">
        <f>SUM(C4,C5,C6,C7,C8,C9,,C10,C11,C12,C13,C16,C15,C14)</f>
        <v>409</v>
      </c>
    </row>
    <row r="4" spans="1:5" s="5" customFormat="1" x14ac:dyDescent="0.3">
      <c r="A4" s="4" t="s">
        <v>2</v>
      </c>
      <c r="B4" s="5">
        <v>254</v>
      </c>
      <c r="C4" s="5">
        <v>48</v>
      </c>
    </row>
    <row r="5" spans="1:5" x14ac:dyDescent="0.3">
      <c r="A5" s="4" t="s">
        <v>3</v>
      </c>
      <c r="B5" s="30">
        <v>966</v>
      </c>
      <c r="C5" s="30">
        <v>62</v>
      </c>
      <c r="D5" s="5"/>
    </row>
    <row r="6" spans="1:5" x14ac:dyDescent="0.3">
      <c r="A6" s="4" t="s">
        <v>4</v>
      </c>
      <c r="B6" s="19">
        <v>611</v>
      </c>
      <c r="C6" s="6">
        <v>174</v>
      </c>
      <c r="D6" s="5"/>
    </row>
    <row r="7" spans="1:5" x14ac:dyDescent="0.3">
      <c r="A7" s="4" t="s">
        <v>5</v>
      </c>
      <c r="B7" s="32">
        <v>1034</v>
      </c>
      <c r="C7" s="5">
        <v>50</v>
      </c>
      <c r="D7" s="5"/>
    </row>
    <row r="8" spans="1:5" s="15" customFormat="1" x14ac:dyDescent="0.3">
      <c r="A8" s="14" t="s">
        <v>6</v>
      </c>
      <c r="B8" s="6">
        <v>38</v>
      </c>
      <c r="C8" s="6">
        <v>12</v>
      </c>
      <c r="D8" s="5"/>
    </row>
    <row r="9" spans="1:5" x14ac:dyDescent="0.3">
      <c r="A9" s="4" t="s">
        <v>7</v>
      </c>
      <c r="B9" s="5">
        <v>129</v>
      </c>
      <c r="C9" s="5">
        <v>16</v>
      </c>
      <c r="D9" s="5"/>
    </row>
    <row r="10" spans="1:5" x14ac:dyDescent="0.3">
      <c r="A10" s="4" t="s">
        <v>8</v>
      </c>
      <c r="B10" s="5">
        <v>192</v>
      </c>
      <c r="C10" s="5">
        <v>17</v>
      </c>
      <c r="D10" s="5"/>
    </row>
    <row r="11" spans="1:5" x14ac:dyDescent="0.3">
      <c r="A11" s="4" t="s">
        <v>9</v>
      </c>
      <c r="B11" s="5">
        <v>22</v>
      </c>
      <c r="C11" s="5">
        <v>0</v>
      </c>
      <c r="D11" s="5"/>
    </row>
    <row r="12" spans="1:5" x14ac:dyDescent="0.3">
      <c r="A12" s="4" t="s">
        <v>10</v>
      </c>
      <c r="B12" s="5">
        <v>299</v>
      </c>
      <c r="C12" s="5">
        <v>18</v>
      </c>
      <c r="D12" s="5"/>
    </row>
    <row r="13" spans="1:5" x14ac:dyDescent="0.3">
      <c r="A13" s="4" t="s">
        <v>11</v>
      </c>
      <c r="B13" s="5">
        <v>29</v>
      </c>
      <c r="C13" s="5">
        <v>3</v>
      </c>
      <c r="D13" s="5"/>
    </row>
    <row r="14" spans="1:5" x14ac:dyDescent="0.3">
      <c r="A14" s="4" t="s">
        <v>12</v>
      </c>
      <c r="B14" s="8">
        <v>38</v>
      </c>
      <c r="C14" s="7">
        <v>9</v>
      </c>
      <c r="D14" s="5"/>
    </row>
    <row r="15" spans="1:5" x14ac:dyDescent="0.3">
      <c r="A15" s="4" t="s">
        <v>13</v>
      </c>
      <c r="B15" s="5">
        <v>1</v>
      </c>
      <c r="C15" s="5">
        <v>0</v>
      </c>
      <c r="D15" s="5" t="s">
        <v>231</v>
      </c>
    </row>
    <row r="16" spans="1:5" x14ac:dyDescent="0.3">
      <c r="A16" s="4" t="s">
        <v>14</v>
      </c>
      <c r="B16" s="5">
        <v>33</v>
      </c>
      <c r="C16" s="5">
        <v>0</v>
      </c>
      <c r="D16" s="5"/>
    </row>
    <row r="17" spans="1:9" x14ac:dyDescent="0.3">
      <c r="B17" s="3"/>
    </row>
    <row r="20" spans="1:9" x14ac:dyDescent="0.3">
      <c r="A20" s="1" t="s">
        <v>122</v>
      </c>
    </row>
    <row r="21" spans="1:9" s="3" customFormat="1" x14ac:dyDescent="0.3">
      <c r="A21" s="33" t="s">
        <v>411</v>
      </c>
      <c r="B21" s="8"/>
    </row>
    <row r="22" spans="1:9" s="3" customFormat="1" x14ac:dyDescent="0.3">
      <c r="A22" s="34" t="s">
        <v>412</v>
      </c>
      <c r="B22" s="8"/>
    </row>
    <row r="23" spans="1:9" s="3" customFormat="1" x14ac:dyDescent="0.3">
      <c r="A23" s="35" t="s">
        <v>402</v>
      </c>
      <c r="B23" s="8"/>
    </row>
    <row r="24" spans="1:9" s="3" customFormat="1" x14ac:dyDescent="0.3">
      <c r="A24" s="33" t="s">
        <v>418</v>
      </c>
      <c r="B24" s="8"/>
    </row>
    <row r="25" spans="1:9" s="3" customFormat="1" x14ac:dyDescent="0.3">
      <c r="A25" s="33" t="s">
        <v>408</v>
      </c>
      <c r="B25" s="8"/>
    </row>
    <row r="26" spans="1:9" s="3" customFormat="1" x14ac:dyDescent="0.3">
      <c r="A26" s="33"/>
      <c r="B26" s="8"/>
    </row>
    <row r="27" spans="1:9" s="3" customFormat="1" x14ac:dyDescent="0.3">
      <c r="A27"/>
      <c r="B27" s="8"/>
      <c r="I27" s="3" t="s">
        <v>414</v>
      </c>
    </row>
  </sheetData>
  <mergeCells count="1">
    <mergeCell ref="A1:D1"/>
  </mergeCells>
  <hyperlinks>
    <hyperlink ref="A21" r:id="rId1" xr:uid="{00000000-0004-0000-0F00-000000000000}"/>
    <hyperlink ref="A22" r:id="rId2" display="**** YT's official website is now informing the number of hospitalizations, which is 2 as of March 7th." xr:uid="{00000000-0004-0000-0F00-000001000000}"/>
    <hyperlink ref="A23" r:id="rId3" xr:uid="{00000000-0004-0000-0F00-000002000000}"/>
    <hyperlink ref="A24" r:id="rId4" xr:uid="{00000000-0004-0000-0F00-000003000000}"/>
    <hyperlink ref="A25" r:id="rId5" xr:uid="{00000000-0004-0000-0F00-000004000000}"/>
  </hyperlinks>
  <pageMargins left="0.7" right="0.7" top="0.75" bottom="0.75" header="0.3" footer="0.3"/>
  <pageSetup orientation="portrait" r:id="rId6"/>
  <drawing r:id="rId7"/>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1-000000000000}">
  <dimension ref="A1:P19"/>
  <sheetViews>
    <sheetView zoomScale="103" zoomScaleNormal="130" workbookViewId="0">
      <selection activeCell="A24" sqref="A2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26</v>
      </c>
      <c r="B1" s="44"/>
      <c r="C1" s="44"/>
      <c r="D1" s="44"/>
      <c r="E1" s="2"/>
    </row>
    <row r="2" spans="1:5" x14ac:dyDescent="0.3">
      <c r="B2" s="9" t="s">
        <v>1</v>
      </c>
      <c r="C2" s="10" t="s">
        <v>0</v>
      </c>
    </row>
    <row r="3" spans="1:5" ht="15" thickBot="1" x14ac:dyDescent="0.35">
      <c r="B3" s="11">
        <f>SUM(B4,B5,B6,B7,B8,B9,B10,B11,B12,B13,B16,B15,B14)</f>
        <v>2844</v>
      </c>
      <c r="C3" s="12">
        <f>SUM(C4,C5,C6,C7,C8,C9,C10,C11,C12,C13,C16,C15,C14)</f>
        <v>420</v>
      </c>
    </row>
    <row r="4" spans="1:5" s="5" customFormat="1" x14ac:dyDescent="0.3">
      <c r="A4" s="4" t="s">
        <v>2</v>
      </c>
      <c r="B4" s="5">
        <v>63</v>
      </c>
      <c r="C4" s="5">
        <v>16</v>
      </c>
    </row>
    <row r="5" spans="1:5" x14ac:dyDescent="0.3">
      <c r="A5" s="4" t="s">
        <v>3</v>
      </c>
      <c r="B5" s="5">
        <v>73</v>
      </c>
      <c r="C5" s="5">
        <v>12</v>
      </c>
    </row>
    <row r="6" spans="1:5" x14ac:dyDescent="0.3">
      <c r="A6" s="4" t="s">
        <v>4</v>
      </c>
      <c r="B6" s="19">
        <v>1025</v>
      </c>
      <c r="C6" s="6">
        <v>192</v>
      </c>
    </row>
    <row r="7" spans="1:5" x14ac:dyDescent="0.3">
      <c r="A7" s="4" t="s">
        <v>5</v>
      </c>
      <c r="B7" s="5">
        <v>1655</v>
      </c>
      <c r="C7" s="18">
        <v>186</v>
      </c>
    </row>
    <row r="8" spans="1:5" x14ac:dyDescent="0.3">
      <c r="A8" s="4" t="s">
        <v>6</v>
      </c>
      <c r="B8" s="5">
        <v>9</v>
      </c>
      <c r="C8" s="5">
        <v>4</v>
      </c>
    </row>
    <row r="9" spans="1:5" x14ac:dyDescent="0.3">
      <c r="A9" s="4" t="s">
        <v>7</v>
      </c>
      <c r="B9" s="7">
        <v>0</v>
      </c>
      <c r="C9" s="7">
        <v>0</v>
      </c>
    </row>
    <row r="10" spans="1:5" x14ac:dyDescent="0.3">
      <c r="A10" s="4" t="s">
        <v>8</v>
      </c>
      <c r="B10" s="5">
        <v>4</v>
      </c>
      <c r="C10" s="5">
        <v>1</v>
      </c>
    </row>
    <row r="11" spans="1:5" x14ac:dyDescent="0.3">
      <c r="A11" s="4" t="s">
        <v>9</v>
      </c>
      <c r="B11" s="5">
        <v>0</v>
      </c>
      <c r="C11" s="5">
        <v>0</v>
      </c>
    </row>
    <row r="12" spans="1:5" x14ac:dyDescent="0.3">
      <c r="A12" s="4" t="s">
        <v>10</v>
      </c>
      <c r="B12" s="5">
        <v>11</v>
      </c>
      <c r="C12" s="5">
        <v>8</v>
      </c>
    </row>
    <row r="13" spans="1:5" x14ac:dyDescent="0.3">
      <c r="A13" s="4" t="s">
        <v>11</v>
      </c>
      <c r="B13" s="5">
        <v>4</v>
      </c>
      <c r="C13" s="5">
        <v>1</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19" spans="1:2" x14ac:dyDescent="0.3">
      <c r="A19" s="13"/>
    </row>
  </sheetData>
  <mergeCells count="1">
    <mergeCell ref="A1:D1"/>
  </mergeCells>
  <pageMargins left="0.7" right="0.7" top="0.75" bottom="0.75" header="0.3" footer="0.3"/>
  <pageSetup orientation="portrait" verticalDpi="0" r:id="rId1"/>
  <drawing r:id="rId2"/>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1-000000000000}">
  <dimension ref="A1:P19"/>
  <sheetViews>
    <sheetView zoomScale="103" zoomScaleNormal="130" workbookViewId="0">
      <selection activeCell="A24" sqref="A2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25</v>
      </c>
      <c r="B1" s="44"/>
      <c r="C1" s="44"/>
      <c r="D1" s="44"/>
      <c r="E1" s="2"/>
    </row>
    <row r="2" spans="1:5" x14ac:dyDescent="0.3">
      <c r="B2" s="9" t="s">
        <v>1</v>
      </c>
      <c r="C2" s="10" t="s">
        <v>0</v>
      </c>
    </row>
    <row r="3" spans="1:5" ht="15" thickBot="1" x14ac:dyDescent="0.35">
      <c r="B3" s="11">
        <f>SUM(B4,B5,B6,B7,B8,B9,B10,B11,B12,B13,B16,B15,B14)</f>
        <v>2775</v>
      </c>
      <c r="C3" s="12">
        <f>SUM(C4,C5,C6,C7,C8,C9,C10,C11,C12,C13,C16,C15,C14)</f>
        <v>438</v>
      </c>
    </row>
    <row r="4" spans="1:5" s="5" customFormat="1" x14ac:dyDescent="0.3">
      <c r="A4" s="4" t="s">
        <v>2</v>
      </c>
      <c r="B4" s="5">
        <v>69</v>
      </c>
      <c r="C4" s="5">
        <v>21</v>
      </c>
    </row>
    <row r="5" spans="1:5" x14ac:dyDescent="0.3">
      <c r="A5" s="4" t="s">
        <v>3</v>
      </c>
      <c r="B5" s="5">
        <v>71</v>
      </c>
      <c r="C5" s="5">
        <v>13</v>
      </c>
    </row>
    <row r="6" spans="1:5" x14ac:dyDescent="0.3">
      <c r="A6" s="4" t="s">
        <v>4</v>
      </c>
      <c r="B6" s="5">
        <v>961</v>
      </c>
      <c r="C6" s="6">
        <v>195</v>
      </c>
    </row>
    <row r="7" spans="1:5" x14ac:dyDescent="0.3">
      <c r="A7" s="4" t="s">
        <v>5</v>
      </c>
      <c r="B7" s="5">
        <v>1632</v>
      </c>
      <c r="C7" s="18">
        <v>199</v>
      </c>
    </row>
    <row r="8" spans="1:5" x14ac:dyDescent="0.3">
      <c r="A8" s="4" t="s">
        <v>6</v>
      </c>
      <c r="B8" s="5">
        <v>9</v>
      </c>
      <c r="C8" s="5">
        <v>3</v>
      </c>
    </row>
    <row r="9" spans="1:5" x14ac:dyDescent="0.3">
      <c r="A9" s="4" t="s">
        <v>7</v>
      </c>
      <c r="B9" s="7">
        <v>13</v>
      </c>
      <c r="C9" s="7">
        <v>0</v>
      </c>
    </row>
    <row r="10" spans="1:5" x14ac:dyDescent="0.3">
      <c r="A10" s="4" t="s">
        <v>8</v>
      </c>
      <c r="B10" s="5">
        <v>4</v>
      </c>
      <c r="C10" s="5">
        <v>1</v>
      </c>
    </row>
    <row r="11" spans="1:5" x14ac:dyDescent="0.3">
      <c r="A11" s="4" t="s">
        <v>9</v>
      </c>
      <c r="B11" s="5">
        <v>0</v>
      </c>
      <c r="C11" s="5">
        <v>0</v>
      </c>
    </row>
    <row r="12" spans="1:5" x14ac:dyDescent="0.3">
      <c r="A12" s="4" t="s">
        <v>10</v>
      </c>
      <c r="B12" s="5">
        <v>12</v>
      </c>
      <c r="C12" s="5">
        <v>4</v>
      </c>
    </row>
    <row r="13" spans="1:5" x14ac:dyDescent="0.3">
      <c r="A13" s="4" t="s">
        <v>11</v>
      </c>
      <c r="B13" s="5">
        <v>4</v>
      </c>
      <c r="C13" s="5">
        <v>2</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19" spans="1:2" x14ac:dyDescent="0.3">
      <c r="A19" s="13"/>
    </row>
  </sheetData>
  <mergeCells count="1">
    <mergeCell ref="A1:D1"/>
  </mergeCells>
  <pageMargins left="0.7" right="0.7" top="0.75" bottom="0.75" header="0.3" footer="0.3"/>
  <pageSetup orientation="portrait" verticalDpi="0" r:id="rId1"/>
  <drawing r:id="rId2"/>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1-000000000000}">
  <dimension ref="A1:P19"/>
  <sheetViews>
    <sheetView zoomScale="103" zoomScaleNormal="130" workbookViewId="0">
      <selection activeCell="A24" sqref="A2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24</v>
      </c>
      <c r="B1" s="44"/>
      <c r="C1" s="44"/>
      <c r="D1" s="44"/>
      <c r="E1" s="2"/>
    </row>
    <row r="2" spans="1:5" x14ac:dyDescent="0.3">
      <c r="B2" s="9" t="s">
        <v>1</v>
      </c>
      <c r="C2" s="10" t="s">
        <v>0</v>
      </c>
    </row>
    <row r="3" spans="1:5" ht="15" thickBot="1" x14ac:dyDescent="0.35">
      <c r="B3" s="11">
        <f>SUM(B4,B5,B6,B7,B8,B9,B10,B11,B12,B13,B16,B15,B14)</f>
        <v>2837</v>
      </c>
      <c r="C3" s="12">
        <f>SUM(C4,C5,C6,C7,C8,C9,C10,C11,C12,C13,C16,C15,C14)</f>
        <v>490</v>
      </c>
    </row>
    <row r="4" spans="1:5" s="5" customFormat="1" x14ac:dyDescent="0.3">
      <c r="A4" s="4" t="s">
        <v>2</v>
      </c>
      <c r="B4" s="5">
        <v>78</v>
      </c>
      <c r="C4" s="5">
        <v>21</v>
      </c>
    </row>
    <row r="5" spans="1:5" x14ac:dyDescent="0.3">
      <c r="A5" s="4" t="s">
        <v>3</v>
      </c>
      <c r="B5" s="5">
        <v>87</v>
      </c>
      <c r="C5" s="5">
        <v>20</v>
      </c>
    </row>
    <row r="6" spans="1:5" x14ac:dyDescent="0.3">
      <c r="A6" s="4" t="s">
        <v>4</v>
      </c>
      <c r="B6" s="5">
        <v>1043</v>
      </c>
      <c r="C6" s="6">
        <v>223</v>
      </c>
    </row>
    <row r="7" spans="1:5" x14ac:dyDescent="0.3">
      <c r="A7" s="4" t="s">
        <v>5</v>
      </c>
      <c r="B7" s="5">
        <v>1603</v>
      </c>
      <c r="C7" s="5">
        <v>218</v>
      </c>
    </row>
    <row r="8" spans="1:5" x14ac:dyDescent="0.3">
      <c r="A8" s="4" t="s">
        <v>6</v>
      </c>
      <c r="B8" s="5">
        <v>5</v>
      </c>
      <c r="C8" s="5">
        <v>2</v>
      </c>
    </row>
    <row r="9" spans="1:5" x14ac:dyDescent="0.3">
      <c r="A9" s="4" t="s">
        <v>7</v>
      </c>
      <c r="B9" s="7">
        <v>0</v>
      </c>
      <c r="C9" s="7">
        <v>0</v>
      </c>
    </row>
    <row r="10" spans="1:5" x14ac:dyDescent="0.3">
      <c r="A10" s="4" t="s">
        <v>8</v>
      </c>
      <c r="B10" s="5">
        <v>4</v>
      </c>
      <c r="C10" s="5">
        <v>0</v>
      </c>
    </row>
    <row r="11" spans="1:5" x14ac:dyDescent="0.3">
      <c r="A11" s="4" t="s">
        <v>9</v>
      </c>
      <c r="B11" s="5">
        <v>0</v>
      </c>
      <c r="C11" s="5">
        <v>0</v>
      </c>
    </row>
    <row r="12" spans="1:5" x14ac:dyDescent="0.3">
      <c r="A12" s="4" t="s">
        <v>10</v>
      </c>
      <c r="B12" s="5">
        <v>13</v>
      </c>
      <c r="C12" s="5">
        <v>4</v>
      </c>
    </row>
    <row r="13" spans="1:5" x14ac:dyDescent="0.3">
      <c r="A13" s="4" t="s">
        <v>11</v>
      </c>
      <c r="B13" s="5">
        <v>4</v>
      </c>
      <c r="C13" s="5">
        <v>2</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19" spans="1:2" x14ac:dyDescent="0.3">
      <c r="A19" s="13"/>
    </row>
  </sheetData>
  <mergeCells count="1">
    <mergeCell ref="A1:D1"/>
  </mergeCells>
  <pageMargins left="0.7" right="0.7" top="0.75" bottom="0.75" header="0.3" footer="0.3"/>
  <pageSetup orientation="portrait" verticalDpi="0" r:id="rId1"/>
  <drawing r:id="rId2"/>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1-000000000000}">
  <dimension ref="A1:P19"/>
  <sheetViews>
    <sheetView zoomScale="103" zoomScaleNormal="130" workbookViewId="0">
      <selection activeCell="A24" sqref="A2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22</v>
      </c>
      <c r="B1" s="44"/>
      <c r="C1" s="44"/>
      <c r="D1" s="44"/>
      <c r="E1" s="2"/>
    </row>
    <row r="2" spans="1:5" x14ac:dyDescent="0.3">
      <c r="B2" s="9" t="s">
        <v>1</v>
      </c>
      <c r="C2" s="10" t="s">
        <v>0</v>
      </c>
    </row>
    <row r="3" spans="1:5" ht="15" thickBot="1" x14ac:dyDescent="0.35">
      <c r="B3" s="11">
        <f>SUM(B4,B5,B6,B7,B8,B9,B10,B11,B12,B13,B16,B15,B14)</f>
        <v>2737</v>
      </c>
      <c r="C3" s="12">
        <f>SUM(C4,C5,C6,C7,C8,C9,C10,C11,C12,C13,C16,C15,C14)</f>
        <v>499</v>
      </c>
    </row>
    <row r="4" spans="1:5" s="5" customFormat="1" x14ac:dyDescent="0.3">
      <c r="A4" s="4" t="s">
        <v>2</v>
      </c>
      <c r="B4" s="5">
        <v>72</v>
      </c>
      <c r="C4" s="5">
        <v>23</v>
      </c>
    </row>
    <row r="5" spans="1:5" x14ac:dyDescent="0.3">
      <c r="A5" s="4" t="s">
        <v>3</v>
      </c>
      <c r="B5" s="5">
        <v>90</v>
      </c>
      <c r="C5" s="5">
        <v>19</v>
      </c>
    </row>
    <row r="6" spans="1:5" x14ac:dyDescent="0.3">
      <c r="A6" s="4" t="s">
        <v>4</v>
      </c>
      <c r="B6" s="5">
        <v>1010</v>
      </c>
      <c r="C6" s="6">
        <v>232</v>
      </c>
    </row>
    <row r="7" spans="1:5" x14ac:dyDescent="0.3">
      <c r="A7" s="4" t="s">
        <v>5</v>
      </c>
      <c r="B7" s="5">
        <v>1536</v>
      </c>
      <c r="C7" s="5">
        <v>218</v>
      </c>
    </row>
    <row r="8" spans="1:5" x14ac:dyDescent="0.3">
      <c r="A8" s="4" t="s">
        <v>6</v>
      </c>
      <c r="B8" s="5">
        <v>6</v>
      </c>
      <c r="C8" s="5">
        <v>2</v>
      </c>
    </row>
    <row r="9" spans="1:5" x14ac:dyDescent="0.3">
      <c r="A9" s="4" t="s">
        <v>7</v>
      </c>
      <c r="B9" s="7">
        <v>0</v>
      </c>
      <c r="C9" s="7">
        <v>0</v>
      </c>
    </row>
    <row r="10" spans="1:5" x14ac:dyDescent="0.3">
      <c r="A10" s="4" t="s">
        <v>8</v>
      </c>
      <c r="B10" s="5">
        <v>5</v>
      </c>
      <c r="C10" s="5">
        <v>0</v>
      </c>
    </row>
    <row r="11" spans="1:5" x14ac:dyDescent="0.3">
      <c r="A11" s="4" t="s">
        <v>9</v>
      </c>
      <c r="B11" s="5">
        <v>0</v>
      </c>
      <c r="C11" s="5">
        <v>0</v>
      </c>
    </row>
    <row r="12" spans="1:5" x14ac:dyDescent="0.3">
      <c r="A12" s="4" t="s">
        <v>10</v>
      </c>
      <c r="B12" s="5">
        <v>14</v>
      </c>
      <c r="C12" s="5">
        <v>3</v>
      </c>
    </row>
    <row r="13" spans="1:5" x14ac:dyDescent="0.3">
      <c r="A13" s="4" t="s">
        <v>11</v>
      </c>
      <c r="B13" s="5">
        <v>4</v>
      </c>
      <c r="C13" s="5">
        <v>2</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19" spans="1:2" x14ac:dyDescent="0.3">
      <c r="A19" s="13"/>
    </row>
  </sheetData>
  <mergeCells count="1">
    <mergeCell ref="A1:D1"/>
  </mergeCells>
  <pageMargins left="0.7" right="0.7" top="0.75" bottom="0.75" header="0.3" footer="0.3"/>
  <pageSetup orientation="portrait" verticalDpi="0" r:id="rId1"/>
  <drawing r:id="rId2"/>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1-000000000000}">
  <dimension ref="A1:P19"/>
  <sheetViews>
    <sheetView zoomScale="103" zoomScaleNormal="130" workbookViewId="0">
      <selection activeCell="A24" sqref="A2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23</v>
      </c>
      <c r="B1" s="44"/>
      <c r="C1" s="44"/>
      <c r="D1" s="44"/>
      <c r="E1" s="2"/>
    </row>
    <row r="2" spans="1:5" x14ac:dyDescent="0.3">
      <c r="B2" s="9" t="s">
        <v>1</v>
      </c>
      <c r="C2" s="10" t="s">
        <v>0</v>
      </c>
    </row>
    <row r="3" spans="1:5" ht="15" thickBot="1" x14ac:dyDescent="0.35">
      <c r="B3" s="11">
        <f>SUM(B4,B5,B6,B7,B8,B9,B10,B11,B12,B13,B16,B15,B14)</f>
        <v>2698</v>
      </c>
      <c r="C3" s="12">
        <f>SUM(C4,C5,C6,C7,C8,C9,C10,C11,C12,C13,C16,C15,C14)</f>
        <v>510</v>
      </c>
    </row>
    <row r="4" spans="1:5" s="5" customFormat="1" x14ac:dyDescent="0.3">
      <c r="A4" s="4" t="s">
        <v>2</v>
      </c>
      <c r="B4" s="5">
        <v>82</v>
      </c>
      <c r="C4" s="5">
        <v>30</v>
      </c>
    </row>
    <row r="5" spans="1:5" x14ac:dyDescent="0.3">
      <c r="A5" s="4" t="s">
        <v>3</v>
      </c>
      <c r="B5" s="5">
        <v>90</v>
      </c>
      <c r="C5" s="5">
        <v>22</v>
      </c>
    </row>
    <row r="6" spans="1:5" x14ac:dyDescent="0.3">
      <c r="A6" s="4" t="s">
        <v>4</v>
      </c>
      <c r="B6" s="5">
        <v>999</v>
      </c>
      <c r="C6" s="6">
        <v>233</v>
      </c>
    </row>
    <row r="7" spans="1:5" x14ac:dyDescent="0.3">
      <c r="A7" s="4" t="s">
        <v>5</v>
      </c>
      <c r="B7" s="5">
        <v>1498</v>
      </c>
      <c r="C7" s="5">
        <v>218</v>
      </c>
    </row>
    <row r="8" spans="1:5" x14ac:dyDescent="0.3">
      <c r="A8" s="4" t="s">
        <v>6</v>
      </c>
      <c r="B8" s="5">
        <v>10</v>
      </c>
      <c r="C8" s="5">
        <v>3</v>
      </c>
    </row>
    <row r="9" spans="1:5" x14ac:dyDescent="0.3">
      <c r="A9" s="4" t="s">
        <v>7</v>
      </c>
      <c r="B9" s="7">
        <v>0</v>
      </c>
      <c r="C9" s="7">
        <v>0</v>
      </c>
    </row>
    <row r="10" spans="1:5" x14ac:dyDescent="0.3">
      <c r="A10" s="4" t="s">
        <v>8</v>
      </c>
      <c r="B10" s="5">
        <v>5</v>
      </c>
      <c r="C10" s="5">
        <v>0</v>
      </c>
    </row>
    <row r="11" spans="1:5" x14ac:dyDescent="0.3">
      <c r="A11" s="4" t="s">
        <v>9</v>
      </c>
      <c r="B11" s="5">
        <v>0</v>
      </c>
      <c r="C11" s="5">
        <v>0</v>
      </c>
    </row>
    <row r="12" spans="1:5" x14ac:dyDescent="0.3">
      <c r="A12" s="4" t="s">
        <v>10</v>
      </c>
      <c r="B12" s="5">
        <v>10</v>
      </c>
      <c r="C12" s="5">
        <v>3</v>
      </c>
    </row>
    <row r="13" spans="1:5" x14ac:dyDescent="0.3">
      <c r="A13" s="4" t="s">
        <v>11</v>
      </c>
      <c r="B13" s="5">
        <v>4</v>
      </c>
      <c r="C13" s="5">
        <v>1</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19" spans="1:2" x14ac:dyDescent="0.3">
      <c r="A19" s="13"/>
    </row>
  </sheetData>
  <mergeCells count="1">
    <mergeCell ref="A1:D1"/>
  </mergeCells>
  <pageMargins left="0.7" right="0.7" top="0.75" bottom="0.75" header="0.3" footer="0.3"/>
  <pageSetup orientation="portrait" verticalDpi="0" r:id="rId1"/>
  <drawing r:id="rId2"/>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1-000000000000}">
  <dimension ref="A1:P19"/>
  <sheetViews>
    <sheetView zoomScale="103" zoomScaleNormal="130" workbookViewId="0">
      <selection activeCell="A24" sqref="A2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21</v>
      </c>
      <c r="B1" s="44"/>
      <c r="C1" s="44"/>
      <c r="D1" s="44"/>
      <c r="E1" s="2"/>
    </row>
    <row r="2" spans="1:5" x14ac:dyDescent="0.3">
      <c r="B2" s="9" t="s">
        <v>1</v>
      </c>
      <c r="C2" s="10" t="s">
        <v>0</v>
      </c>
    </row>
    <row r="3" spans="1:5" ht="15" thickBot="1" x14ac:dyDescent="0.35">
      <c r="B3" s="11">
        <f>SUM(B4,B5,B6,B7,B8,B9,B10,B11,B12,B13,B16,B15,B14)</f>
        <v>2572</v>
      </c>
      <c r="C3" s="12">
        <f>SUM(C4,C5,C6,C7,C8,C9,C10,C11,C12,C13,C16,C15,C14)</f>
        <v>523</v>
      </c>
    </row>
    <row r="4" spans="1:5" s="5" customFormat="1" x14ac:dyDescent="0.3">
      <c r="A4" s="4" t="s">
        <v>2</v>
      </c>
      <c r="B4" s="5">
        <v>94</v>
      </c>
      <c r="C4" s="5">
        <v>37</v>
      </c>
    </row>
    <row r="5" spans="1:5" x14ac:dyDescent="0.3">
      <c r="A5" s="4" t="s">
        <v>3</v>
      </c>
      <c r="B5" s="5">
        <v>82</v>
      </c>
      <c r="C5" s="5">
        <v>21</v>
      </c>
    </row>
    <row r="6" spans="1:5" x14ac:dyDescent="0.3">
      <c r="A6" s="4" t="s">
        <v>4</v>
      </c>
      <c r="B6" s="17">
        <v>957</v>
      </c>
      <c r="C6" s="6">
        <v>239</v>
      </c>
    </row>
    <row r="7" spans="1:5" x14ac:dyDescent="0.3">
      <c r="A7" s="4" t="s">
        <v>5</v>
      </c>
      <c r="B7" s="5">
        <v>1408</v>
      </c>
      <c r="C7" s="5">
        <v>217</v>
      </c>
    </row>
    <row r="8" spans="1:5" x14ac:dyDescent="0.3">
      <c r="A8" s="4" t="s">
        <v>6</v>
      </c>
      <c r="B8" s="5">
        <v>11</v>
      </c>
      <c r="C8" s="5">
        <v>3</v>
      </c>
    </row>
    <row r="9" spans="1:5" x14ac:dyDescent="0.3">
      <c r="A9" s="4" t="s">
        <v>7</v>
      </c>
      <c r="B9" s="7">
        <v>1</v>
      </c>
      <c r="C9" s="7">
        <v>0</v>
      </c>
    </row>
    <row r="10" spans="1:5" x14ac:dyDescent="0.3">
      <c r="A10" s="4" t="s">
        <v>8</v>
      </c>
      <c r="B10" s="5">
        <v>7</v>
      </c>
      <c r="C10" s="5">
        <v>2</v>
      </c>
    </row>
    <row r="11" spans="1:5" x14ac:dyDescent="0.3">
      <c r="A11" s="4" t="s">
        <v>9</v>
      </c>
      <c r="B11" s="5">
        <v>0</v>
      </c>
      <c r="C11" s="5">
        <v>0</v>
      </c>
    </row>
    <row r="12" spans="1:5" x14ac:dyDescent="0.3">
      <c r="A12" s="4" t="s">
        <v>10</v>
      </c>
      <c r="B12" s="5">
        <v>8</v>
      </c>
      <c r="C12" s="5">
        <v>2</v>
      </c>
    </row>
    <row r="13" spans="1:5" x14ac:dyDescent="0.3">
      <c r="A13" s="4" t="s">
        <v>11</v>
      </c>
      <c r="B13" s="5">
        <v>4</v>
      </c>
      <c r="C13" s="5">
        <v>2</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19" spans="1:2" x14ac:dyDescent="0.3">
      <c r="A19" s="13"/>
    </row>
  </sheetData>
  <mergeCells count="1">
    <mergeCell ref="A1:D1"/>
  </mergeCells>
  <pageMargins left="0.7" right="0.7" top="0.75" bottom="0.75" header="0.3" footer="0.3"/>
  <pageSetup orientation="portrait" verticalDpi="0" r:id="rId1"/>
  <drawing r:id="rId2"/>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1-000000000000}">
  <dimension ref="A1:P19"/>
  <sheetViews>
    <sheetView zoomScale="103" zoomScaleNormal="130" workbookViewId="0">
      <selection activeCell="A24" sqref="A2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20</v>
      </c>
      <c r="B1" s="44"/>
      <c r="C1" s="44"/>
      <c r="D1" s="44"/>
      <c r="E1" s="2"/>
    </row>
    <row r="2" spans="1:5" x14ac:dyDescent="0.3">
      <c r="B2" s="9" t="s">
        <v>1</v>
      </c>
      <c r="C2" s="10" t="s">
        <v>0</v>
      </c>
    </row>
    <row r="3" spans="1:5" ht="15" thickBot="1" x14ac:dyDescent="0.35">
      <c r="B3" s="11">
        <f>SUM(B4,B5,B6,B7,B8,B9,B10,B11,B12,B13,B16,B15,B14)</f>
        <v>2454</v>
      </c>
      <c r="C3" s="12">
        <f>SUM(C4,C5,C6,C7,C8,C9,C10,C11,C12,C13,C16,C15,C14)</f>
        <v>537</v>
      </c>
    </row>
    <row r="4" spans="1:5" s="5" customFormat="1" x14ac:dyDescent="0.3">
      <c r="A4" s="4" t="s">
        <v>2</v>
      </c>
      <c r="B4" s="5">
        <v>96</v>
      </c>
      <c r="C4" s="5">
        <v>41</v>
      </c>
    </row>
    <row r="5" spans="1:5" x14ac:dyDescent="0.3">
      <c r="A5" s="4" t="s">
        <v>3</v>
      </c>
      <c r="B5" s="5">
        <v>83</v>
      </c>
      <c r="C5" s="5">
        <v>20</v>
      </c>
    </row>
    <row r="6" spans="1:5" x14ac:dyDescent="0.3">
      <c r="A6" s="4" t="s">
        <v>4</v>
      </c>
      <c r="B6" s="17">
        <v>938</v>
      </c>
      <c r="C6" s="6">
        <v>252</v>
      </c>
    </row>
    <row r="7" spans="1:5" x14ac:dyDescent="0.3">
      <c r="A7" s="4" t="s">
        <v>5</v>
      </c>
      <c r="B7" s="5">
        <v>1303</v>
      </c>
      <c r="C7" s="5">
        <v>215</v>
      </c>
    </row>
    <row r="8" spans="1:5" x14ac:dyDescent="0.3">
      <c r="A8" s="4" t="s">
        <v>6</v>
      </c>
      <c r="B8" s="5">
        <v>12</v>
      </c>
      <c r="C8" s="5">
        <v>3</v>
      </c>
    </row>
    <row r="9" spans="1:5" x14ac:dyDescent="0.3">
      <c r="A9" s="4" t="s">
        <v>7</v>
      </c>
      <c r="B9" s="7">
        <v>4</v>
      </c>
      <c r="C9" s="7">
        <v>0</v>
      </c>
    </row>
    <row r="10" spans="1:5" x14ac:dyDescent="0.3">
      <c r="A10" s="4" t="s">
        <v>8</v>
      </c>
      <c r="B10" s="5">
        <v>8</v>
      </c>
      <c r="C10" s="5">
        <v>2</v>
      </c>
    </row>
    <row r="11" spans="1:5" x14ac:dyDescent="0.3">
      <c r="A11" s="4" t="s">
        <v>9</v>
      </c>
      <c r="B11" s="5">
        <v>0</v>
      </c>
      <c r="C11" s="5">
        <v>0</v>
      </c>
    </row>
    <row r="12" spans="1:5" x14ac:dyDescent="0.3">
      <c r="A12" s="4" t="s">
        <v>10</v>
      </c>
      <c r="B12" s="5">
        <v>5</v>
      </c>
      <c r="C12" s="5">
        <v>2</v>
      </c>
    </row>
    <row r="13" spans="1:5" x14ac:dyDescent="0.3">
      <c r="A13" s="4" t="s">
        <v>11</v>
      </c>
      <c r="B13" s="5">
        <v>5</v>
      </c>
      <c r="C13" s="5">
        <v>2</v>
      </c>
    </row>
    <row r="14" spans="1:5" x14ac:dyDescent="0.3">
      <c r="A14" s="4" t="s">
        <v>12</v>
      </c>
      <c r="B14" s="8">
        <v>0</v>
      </c>
      <c r="C14" s="7">
        <v>0</v>
      </c>
    </row>
    <row r="15" spans="1:5" x14ac:dyDescent="0.3">
      <c r="A15" s="4" t="s">
        <v>13</v>
      </c>
      <c r="B15" s="5">
        <v>0</v>
      </c>
      <c r="C15" s="5">
        <v>0</v>
      </c>
    </row>
    <row r="16" spans="1:5" x14ac:dyDescent="0.3">
      <c r="A16" s="4" t="s">
        <v>14</v>
      </c>
      <c r="B16" s="5">
        <v>0</v>
      </c>
      <c r="C16" s="5">
        <v>0</v>
      </c>
    </row>
    <row r="17" spans="1:2" x14ac:dyDescent="0.3">
      <c r="B17" s="3"/>
    </row>
    <row r="19" spans="1:2" x14ac:dyDescent="0.3">
      <c r="A19" s="13"/>
    </row>
  </sheetData>
  <mergeCells count="1">
    <mergeCell ref="A1:D1"/>
  </mergeCells>
  <pageMargins left="0.7" right="0.7" top="0.75" bottom="0.75" header="0.3" footer="0.3"/>
  <pageSetup orientation="portrait" verticalDpi="0" r:id="rId1"/>
  <drawing r:id="rId2"/>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1-000000000000}">
  <dimension ref="A1:P19"/>
  <sheetViews>
    <sheetView zoomScale="103" zoomScaleNormal="130" workbookViewId="0">
      <selection activeCell="A24" sqref="A2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19</v>
      </c>
      <c r="B1" s="44"/>
      <c r="C1" s="44"/>
      <c r="D1" s="44"/>
      <c r="E1" s="2"/>
    </row>
    <row r="2" spans="1:5" x14ac:dyDescent="0.3">
      <c r="B2" s="9" t="s">
        <v>1</v>
      </c>
      <c r="C2" s="10" t="s">
        <v>0</v>
      </c>
    </row>
    <row r="3" spans="1:5" ht="15" thickBot="1" x14ac:dyDescent="0.35">
      <c r="B3" s="11">
        <f>SUM(B4,B5,B6,B7,B8,B9,B10,B11,B12,B13,B14,B15,B16)</f>
        <v>2299</v>
      </c>
      <c r="C3" s="12">
        <f>SUM(C4,C5,C6,C7,C8,C9,C10,C11,C12,C13,C14,C15,C16)</f>
        <v>512</v>
      </c>
    </row>
    <row r="4" spans="1:5" s="5" customFormat="1" x14ac:dyDescent="0.3">
      <c r="A4" s="4" t="s">
        <v>2</v>
      </c>
      <c r="B4" s="5">
        <v>103</v>
      </c>
      <c r="C4" s="5">
        <v>44</v>
      </c>
    </row>
    <row r="5" spans="1:5" x14ac:dyDescent="0.3">
      <c r="A5" s="4" t="s">
        <v>3</v>
      </c>
      <c r="B5" s="5">
        <v>72</v>
      </c>
      <c r="C5" s="5">
        <v>18</v>
      </c>
    </row>
    <row r="6" spans="1:5" x14ac:dyDescent="0.3">
      <c r="A6" s="4" t="s">
        <v>4</v>
      </c>
      <c r="B6" s="17">
        <v>887</v>
      </c>
      <c r="C6" s="6">
        <v>233</v>
      </c>
    </row>
    <row r="7" spans="1:5" x14ac:dyDescent="0.3">
      <c r="A7" s="4" t="s">
        <v>5</v>
      </c>
      <c r="B7" s="5">
        <v>1204</v>
      </c>
      <c r="C7" s="5">
        <v>207</v>
      </c>
    </row>
    <row r="8" spans="1:5" x14ac:dyDescent="0.3">
      <c r="A8" s="4" t="s">
        <v>6</v>
      </c>
      <c r="B8" s="5">
        <v>10</v>
      </c>
      <c r="C8" s="5">
        <v>4</v>
      </c>
    </row>
    <row r="9" spans="1:5" x14ac:dyDescent="0.3">
      <c r="A9" s="4" t="s">
        <v>7</v>
      </c>
      <c r="B9" s="7">
        <v>5</v>
      </c>
      <c r="C9" s="7">
        <v>1</v>
      </c>
    </row>
    <row r="10" spans="1:5" x14ac:dyDescent="0.3">
      <c r="A10" s="4" t="s">
        <v>8</v>
      </c>
      <c r="B10" s="5">
        <v>7</v>
      </c>
      <c r="C10" s="5">
        <v>2</v>
      </c>
    </row>
    <row r="11" spans="1:5" x14ac:dyDescent="0.3">
      <c r="A11" s="4" t="s">
        <v>9</v>
      </c>
      <c r="B11" s="5">
        <v>0</v>
      </c>
      <c r="C11" s="5">
        <v>0</v>
      </c>
    </row>
    <row r="12" spans="1:5" x14ac:dyDescent="0.3">
      <c r="A12" s="4" t="s">
        <v>10</v>
      </c>
      <c r="B12" s="5">
        <v>6</v>
      </c>
      <c r="C12" s="5">
        <v>1</v>
      </c>
    </row>
    <row r="13" spans="1:5" x14ac:dyDescent="0.3">
      <c r="A13" s="4" t="s">
        <v>11</v>
      </c>
      <c r="B13" s="5">
        <v>5</v>
      </c>
      <c r="C13" s="5">
        <v>2</v>
      </c>
    </row>
    <row r="14" spans="1:5" x14ac:dyDescent="0.3">
      <c r="A14" s="4" t="s">
        <v>12</v>
      </c>
      <c r="B14" s="5">
        <v>0</v>
      </c>
      <c r="C14" s="5">
        <v>0</v>
      </c>
    </row>
    <row r="15" spans="1:5" x14ac:dyDescent="0.3">
      <c r="A15" s="4" t="s">
        <v>13</v>
      </c>
      <c r="B15" s="5">
        <v>0</v>
      </c>
      <c r="C15" s="5">
        <v>0</v>
      </c>
    </row>
    <row r="16" spans="1:5" x14ac:dyDescent="0.3">
      <c r="A16" s="4" t="s">
        <v>14</v>
      </c>
      <c r="B16" s="5">
        <v>0</v>
      </c>
      <c r="C16" s="5">
        <v>0</v>
      </c>
    </row>
    <row r="17" spans="1:2" x14ac:dyDescent="0.3">
      <c r="B17" s="3"/>
    </row>
    <row r="19" spans="1:2" x14ac:dyDescent="0.3">
      <c r="A19" s="13"/>
    </row>
  </sheetData>
  <mergeCells count="1">
    <mergeCell ref="A1:D1"/>
  </mergeCells>
  <pageMargins left="0.7" right="0.7" top="0.75" bottom="0.75" header="0.3" footer="0.3"/>
  <pageSetup orientation="portrait" verticalDpi="0" r:id="rId1"/>
  <drawing r:id="rId2"/>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1-000000000000}">
  <dimension ref="A1:P19"/>
  <sheetViews>
    <sheetView zoomScale="103" zoomScaleNormal="130" workbookViewId="0">
      <selection activeCell="A24" sqref="A2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18</v>
      </c>
      <c r="B1" s="44"/>
      <c r="C1" s="44"/>
      <c r="D1" s="44"/>
      <c r="E1" s="2"/>
    </row>
    <row r="2" spans="1:5" x14ac:dyDescent="0.3">
      <c r="B2" s="9" t="s">
        <v>1</v>
      </c>
      <c r="C2" s="10" t="s">
        <v>0</v>
      </c>
    </row>
    <row r="3" spans="1:5" ht="15" thickBot="1" x14ac:dyDescent="0.35">
      <c r="B3" s="11">
        <f>SUM(B4,B5,B6,B7,B8,B9,B10,B11,B12,B13,B14,B15,B16)</f>
        <v>2089</v>
      </c>
      <c r="C3" s="12">
        <f>SUM(C4,C5,C6,C7,C8,C9,C10,C11,C12,C13,C14,C15,C16)</f>
        <v>531</v>
      </c>
    </row>
    <row r="4" spans="1:5" s="5" customFormat="1" x14ac:dyDescent="0.3">
      <c r="A4" s="4" t="s">
        <v>2</v>
      </c>
      <c r="B4" s="5">
        <v>109</v>
      </c>
      <c r="C4" s="5">
        <v>51</v>
      </c>
    </row>
    <row r="5" spans="1:5" x14ac:dyDescent="0.3">
      <c r="A5" s="4" t="s">
        <v>3</v>
      </c>
      <c r="B5" s="5">
        <v>64</v>
      </c>
      <c r="C5" s="5">
        <v>18</v>
      </c>
    </row>
    <row r="6" spans="1:5" x14ac:dyDescent="0.3">
      <c r="A6" s="4" t="s">
        <v>4</v>
      </c>
      <c r="B6" s="17">
        <v>859</v>
      </c>
      <c r="C6" s="6">
        <v>250</v>
      </c>
    </row>
    <row r="7" spans="1:5" x14ac:dyDescent="0.3">
      <c r="A7" s="4" t="s">
        <v>5</v>
      </c>
      <c r="B7" s="5">
        <v>1023</v>
      </c>
      <c r="C7" s="5">
        <v>201</v>
      </c>
    </row>
    <row r="8" spans="1:5" x14ac:dyDescent="0.3">
      <c r="A8" s="4" t="s">
        <v>6</v>
      </c>
      <c r="B8" s="5">
        <v>11</v>
      </c>
      <c r="C8" s="5">
        <v>3</v>
      </c>
    </row>
    <row r="9" spans="1:5" x14ac:dyDescent="0.3">
      <c r="A9" s="4" t="s">
        <v>7</v>
      </c>
      <c r="B9" s="7">
        <v>5</v>
      </c>
      <c r="C9" s="7">
        <v>1</v>
      </c>
    </row>
    <row r="10" spans="1:5" x14ac:dyDescent="0.3">
      <c r="A10" s="4" t="s">
        <v>8</v>
      </c>
      <c r="B10" s="5">
        <v>7</v>
      </c>
      <c r="C10" s="5">
        <v>4</v>
      </c>
    </row>
    <row r="11" spans="1:5" x14ac:dyDescent="0.3">
      <c r="A11" s="4" t="s">
        <v>9</v>
      </c>
      <c r="B11" s="5">
        <v>0</v>
      </c>
      <c r="C11" s="5">
        <v>0</v>
      </c>
    </row>
    <row r="12" spans="1:5" x14ac:dyDescent="0.3">
      <c r="A12" s="4" t="s">
        <v>10</v>
      </c>
      <c r="B12" s="5">
        <v>5</v>
      </c>
      <c r="C12" s="5">
        <v>1</v>
      </c>
    </row>
    <row r="13" spans="1:5" x14ac:dyDescent="0.3">
      <c r="A13" s="4" t="s">
        <v>11</v>
      </c>
      <c r="B13" s="5">
        <v>6</v>
      </c>
      <c r="C13" s="5">
        <v>2</v>
      </c>
    </row>
    <row r="14" spans="1:5" x14ac:dyDescent="0.3">
      <c r="A14" s="4" t="s">
        <v>12</v>
      </c>
      <c r="B14" s="5">
        <v>0</v>
      </c>
      <c r="C14" s="5">
        <v>0</v>
      </c>
    </row>
    <row r="15" spans="1:5" x14ac:dyDescent="0.3">
      <c r="A15" s="4" t="s">
        <v>13</v>
      </c>
      <c r="B15" s="5">
        <v>0</v>
      </c>
      <c r="C15" s="5">
        <v>0</v>
      </c>
    </row>
    <row r="16" spans="1:5" x14ac:dyDescent="0.3">
      <c r="A16" s="4" t="s">
        <v>14</v>
      </c>
      <c r="B16" s="5">
        <v>0</v>
      </c>
      <c r="C16" s="5">
        <v>0</v>
      </c>
    </row>
    <row r="17" spans="1:2" x14ac:dyDescent="0.3">
      <c r="B17" s="3"/>
    </row>
    <row r="19" spans="1:2" x14ac:dyDescent="0.3">
      <c r="A19" s="13"/>
    </row>
  </sheetData>
  <mergeCells count="1">
    <mergeCell ref="A1:D1"/>
  </mergeCells>
  <pageMargins left="0.7" right="0.7" top="0.75" bottom="0.75" header="0.3" footer="0.3"/>
  <pageSetup orientation="portrait" verticalDpi="0" r:id="rId1"/>
  <drawing r:id="rId2"/>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1-000000000000}">
  <dimension ref="A1:P19"/>
  <sheetViews>
    <sheetView zoomScale="103" zoomScaleNormal="130" workbookViewId="0">
      <selection activeCell="A24" sqref="A2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17</v>
      </c>
      <c r="B1" s="44"/>
      <c r="C1" s="44"/>
      <c r="D1" s="44"/>
      <c r="E1" s="2"/>
    </row>
    <row r="2" spans="1:5" x14ac:dyDescent="0.3">
      <c r="B2" s="9" t="s">
        <v>1</v>
      </c>
      <c r="C2" s="10" t="s">
        <v>0</v>
      </c>
    </row>
    <row r="3" spans="1:5" ht="15" thickBot="1" x14ac:dyDescent="0.35">
      <c r="B3" s="11">
        <f>SUM(B4,B5,B6,B7,B8,B9,B10,B11,B12,B13,B14,B15,B16)</f>
        <v>1943</v>
      </c>
      <c r="C3" s="12">
        <f>SUM(C4,C5,C6,C7,C8,C9,C10,C11,C12,C13,C14,C15,C16)</f>
        <v>516</v>
      </c>
    </row>
    <row r="4" spans="1:5" s="5" customFormat="1" x14ac:dyDescent="0.3">
      <c r="A4" s="4" t="s">
        <v>2</v>
      </c>
      <c r="B4" s="5">
        <v>115</v>
      </c>
      <c r="C4" s="5">
        <v>54</v>
      </c>
    </row>
    <row r="5" spans="1:5" x14ac:dyDescent="0.3">
      <c r="A5" s="4" t="s">
        <v>3</v>
      </c>
      <c r="B5" s="5">
        <v>65</v>
      </c>
      <c r="C5" s="5">
        <v>16</v>
      </c>
    </row>
    <row r="6" spans="1:5" x14ac:dyDescent="0.3">
      <c r="A6" s="4" t="s">
        <v>4</v>
      </c>
      <c r="B6" s="17">
        <v>809</v>
      </c>
      <c r="C6" s="6">
        <v>247</v>
      </c>
    </row>
    <row r="7" spans="1:5" x14ac:dyDescent="0.3">
      <c r="A7" s="4" t="s">
        <v>5</v>
      </c>
      <c r="B7" s="5">
        <v>919</v>
      </c>
      <c r="C7" s="5">
        <v>183</v>
      </c>
    </row>
    <row r="8" spans="1:5" x14ac:dyDescent="0.3">
      <c r="A8" s="4" t="s">
        <v>6</v>
      </c>
      <c r="B8" s="5">
        <v>12</v>
      </c>
      <c r="C8" s="5">
        <v>4</v>
      </c>
    </row>
    <row r="9" spans="1:5" x14ac:dyDescent="0.3">
      <c r="A9" s="4" t="s">
        <v>7</v>
      </c>
      <c r="B9" s="7">
        <v>5</v>
      </c>
      <c r="C9" s="7">
        <v>3</v>
      </c>
    </row>
    <row r="10" spans="1:5" x14ac:dyDescent="0.3">
      <c r="A10" s="4" t="s">
        <v>8</v>
      </c>
      <c r="B10" s="5">
        <v>8</v>
      </c>
      <c r="C10" s="5">
        <v>5</v>
      </c>
    </row>
    <row r="11" spans="1:5" x14ac:dyDescent="0.3">
      <c r="A11" s="4" t="s">
        <v>9</v>
      </c>
      <c r="B11" s="5">
        <v>0</v>
      </c>
      <c r="C11" s="5">
        <v>0</v>
      </c>
    </row>
    <row r="12" spans="1:5" x14ac:dyDescent="0.3">
      <c r="A12" s="4" t="s">
        <v>10</v>
      </c>
      <c r="B12" s="5">
        <v>4</v>
      </c>
      <c r="C12" s="5">
        <v>1</v>
      </c>
    </row>
    <row r="13" spans="1:5" x14ac:dyDescent="0.3">
      <c r="A13" s="4" t="s">
        <v>11</v>
      </c>
      <c r="B13" s="5">
        <v>6</v>
      </c>
      <c r="C13" s="5">
        <v>3</v>
      </c>
    </row>
    <row r="14" spans="1:5" x14ac:dyDescent="0.3">
      <c r="A14" s="4" t="s">
        <v>12</v>
      </c>
      <c r="B14" s="5">
        <v>0</v>
      </c>
      <c r="C14" s="5">
        <v>0</v>
      </c>
    </row>
    <row r="15" spans="1:5" x14ac:dyDescent="0.3">
      <c r="A15" s="4" t="s">
        <v>13</v>
      </c>
      <c r="B15" s="5">
        <v>0</v>
      </c>
      <c r="C15" s="5">
        <v>0</v>
      </c>
    </row>
    <row r="16" spans="1:5" x14ac:dyDescent="0.3">
      <c r="A16" s="4" t="s">
        <v>14</v>
      </c>
      <c r="B16" s="5">
        <v>0</v>
      </c>
      <c r="C16" s="5">
        <v>0</v>
      </c>
    </row>
    <row r="17" spans="1:2" x14ac:dyDescent="0.3">
      <c r="B17" s="3"/>
    </row>
    <row r="19" spans="1:2" x14ac:dyDescent="0.3">
      <c r="A19" s="13"/>
    </row>
  </sheetData>
  <mergeCells count="1">
    <mergeCell ref="A1:D1"/>
  </mergeCells>
  <pageMargins left="0.7" right="0.7" top="0.75" bottom="0.75" header="0.3" footer="0.3"/>
  <pageSetup orientation="portrait"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P28"/>
  <sheetViews>
    <sheetView zoomScaleNormal="100" workbookViewId="0">
      <selection activeCell="B12" sqref="B12"/>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415</v>
      </c>
      <c r="B1" s="44"/>
      <c r="C1" s="44"/>
      <c r="D1" s="44"/>
      <c r="E1" s="2"/>
    </row>
    <row r="2" spans="1:5" x14ac:dyDescent="0.3">
      <c r="B2" s="9" t="s">
        <v>1</v>
      </c>
      <c r="C2" s="10" t="s">
        <v>0</v>
      </c>
    </row>
    <row r="3" spans="1:5" ht="15" thickBot="1" x14ac:dyDescent="0.35">
      <c r="B3" s="20">
        <f>SUM(B4,B5,B6,B7,B8,B9,B10,B11,B12,B13,B16,B15,B14)</f>
        <v>3557</v>
      </c>
      <c r="C3" s="12">
        <f>SUM(C4,C5,C6,C7,C8,C9,,C10,C11,C12,C13,C16,C15,C14)</f>
        <v>409</v>
      </c>
    </row>
    <row r="4" spans="1:5" s="5" customFormat="1" x14ac:dyDescent="0.3">
      <c r="A4" s="4" t="s">
        <v>2</v>
      </c>
      <c r="B4" s="5">
        <v>290</v>
      </c>
      <c r="C4" s="5">
        <v>46</v>
      </c>
    </row>
    <row r="5" spans="1:5" x14ac:dyDescent="0.3">
      <c r="A5" s="4" t="s">
        <v>3</v>
      </c>
      <c r="B5" s="30">
        <v>966</v>
      </c>
      <c r="C5" s="30">
        <v>62</v>
      </c>
      <c r="D5" s="5"/>
    </row>
    <row r="6" spans="1:5" x14ac:dyDescent="0.3">
      <c r="A6" s="4" t="s">
        <v>4</v>
      </c>
      <c r="B6" s="19">
        <v>551</v>
      </c>
      <c r="C6" s="6">
        <v>181</v>
      </c>
      <c r="D6" s="5"/>
    </row>
    <row r="7" spans="1:5" x14ac:dyDescent="0.3">
      <c r="A7" s="4" t="s">
        <v>5</v>
      </c>
      <c r="B7" s="32">
        <v>1002</v>
      </c>
      <c r="C7" s="5">
        <v>48</v>
      </c>
      <c r="D7" s="5"/>
    </row>
    <row r="8" spans="1:5" s="15" customFormat="1" x14ac:dyDescent="0.3">
      <c r="A8" s="14" t="s">
        <v>6</v>
      </c>
      <c r="B8" s="6">
        <v>38</v>
      </c>
      <c r="C8" s="6">
        <v>12</v>
      </c>
      <c r="D8" s="5"/>
    </row>
    <row r="9" spans="1:5" x14ac:dyDescent="0.3">
      <c r="A9" s="4" t="s">
        <v>7</v>
      </c>
      <c r="B9" s="5">
        <v>99</v>
      </c>
      <c r="C9" s="5">
        <v>13</v>
      </c>
      <c r="D9" s="5"/>
    </row>
    <row r="10" spans="1:5" x14ac:dyDescent="0.3">
      <c r="A10" s="4" t="s">
        <v>8</v>
      </c>
      <c r="B10" s="5">
        <v>182</v>
      </c>
      <c r="C10" s="5">
        <v>17</v>
      </c>
      <c r="D10" s="5"/>
    </row>
    <row r="11" spans="1:5" x14ac:dyDescent="0.3">
      <c r="A11" s="4" t="s">
        <v>9</v>
      </c>
      <c r="B11" s="5">
        <v>27</v>
      </c>
      <c r="C11" s="5">
        <v>0</v>
      </c>
      <c r="D11" s="5"/>
    </row>
    <row r="12" spans="1:5" x14ac:dyDescent="0.3">
      <c r="A12" s="4" t="s">
        <v>10</v>
      </c>
      <c r="B12" s="5">
        <v>299</v>
      </c>
      <c r="C12" s="5">
        <v>18</v>
      </c>
      <c r="D12" s="5"/>
    </row>
    <row r="13" spans="1:5" x14ac:dyDescent="0.3">
      <c r="A13" s="4" t="s">
        <v>11</v>
      </c>
      <c r="B13" s="5">
        <v>31</v>
      </c>
      <c r="C13" s="5">
        <v>3</v>
      </c>
      <c r="D13" s="5"/>
    </row>
    <row r="14" spans="1:5" x14ac:dyDescent="0.3">
      <c r="A14" s="4" t="s">
        <v>12</v>
      </c>
      <c r="B14" s="8">
        <v>38</v>
      </c>
      <c r="C14" s="7">
        <v>9</v>
      </c>
      <c r="D14" s="5"/>
    </row>
    <row r="15" spans="1:5" x14ac:dyDescent="0.3">
      <c r="A15" s="4" t="s">
        <v>13</v>
      </c>
      <c r="B15" s="5">
        <v>1</v>
      </c>
      <c r="C15" s="5">
        <v>0</v>
      </c>
      <c r="D15" s="5" t="s">
        <v>231</v>
      </c>
    </row>
    <row r="16" spans="1:5" x14ac:dyDescent="0.3">
      <c r="A16" s="4" t="s">
        <v>14</v>
      </c>
      <c r="B16" s="5">
        <v>33</v>
      </c>
      <c r="C16" s="5">
        <v>0</v>
      </c>
      <c r="D16" s="5"/>
    </row>
    <row r="17" spans="1:9" x14ac:dyDescent="0.3">
      <c r="B17" s="3"/>
    </row>
    <row r="20" spans="1:9" x14ac:dyDescent="0.3">
      <c r="A20" s="1" t="s">
        <v>122</v>
      </c>
    </row>
    <row r="21" spans="1:9" x14ac:dyDescent="0.3">
      <c r="A21" s="33" t="s">
        <v>416</v>
      </c>
    </row>
    <row r="22" spans="1:9" x14ac:dyDescent="0.3">
      <c r="A22" s="33" t="s">
        <v>411</v>
      </c>
    </row>
    <row r="23" spans="1:9" x14ac:dyDescent="0.3">
      <c r="A23" s="34" t="s">
        <v>412</v>
      </c>
    </row>
    <row r="24" spans="1:9" x14ac:dyDescent="0.3">
      <c r="A24" s="35" t="s">
        <v>402</v>
      </c>
    </row>
    <row r="25" spans="1:9" x14ac:dyDescent="0.3">
      <c r="A25" s="33" t="s">
        <v>410</v>
      </c>
    </row>
    <row r="26" spans="1:9" x14ac:dyDescent="0.3">
      <c r="A26" s="33" t="s">
        <v>408</v>
      </c>
    </row>
    <row r="27" spans="1:9" x14ac:dyDescent="0.3">
      <c r="A27" s="33" t="s">
        <v>413</v>
      </c>
    </row>
    <row r="28" spans="1:9" x14ac:dyDescent="0.3">
      <c r="A28"/>
      <c r="I28" s="3" t="s">
        <v>414</v>
      </c>
    </row>
  </sheetData>
  <mergeCells count="1">
    <mergeCell ref="A1:D1"/>
  </mergeCells>
  <hyperlinks>
    <hyperlink ref="A22" r:id="rId1" xr:uid="{00000000-0004-0000-1000-000000000000}"/>
    <hyperlink ref="A23" r:id="rId2" display="**** YT's official website is now informing the number of hospitalizations, which is 2 as of March 7th." xr:uid="{00000000-0004-0000-1000-000001000000}"/>
    <hyperlink ref="A24" r:id="rId3" xr:uid="{00000000-0004-0000-1000-000002000000}"/>
    <hyperlink ref="A21" r:id="rId4" xr:uid="{00000000-0004-0000-1000-000003000000}"/>
    <hyperlink ref="A25" r:id="rId5" xr:uid="{00000000-0004-0000-1000-000004000000}"/>
    <hyperlink ref="A26" r:id="rId6" xr:uid="{00000000-0004-0000-1000-000005000000}"/>
    <hyperlink ref="A27" r:id="rId7" xr:uid="{00000000-0004-0000-1000-000006000000}"/>
  </hyperlinks>
  <pageMargins left="0.7" right="0.7" top="0.75" bottom="0.75" header="0.3" footer="0.3"/>
  <pageSetup orientation="portrait" r:id="rId8"/>
  <drawing r:id="rId9"/>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1-000000000000}">
  <dimension ref="A1:P19"/>
  <sheetViews>
    <sheetView zoomScale="103" zoomScaleNormal="130" workbookViewId="0">
      <selection activeCell="A24" sqref="A2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16</v>
      </c>
      <c r="B1" s="44"/>
      <c r="C1" s="44"/>
      <c r="D1" s="44"/>
      <c r="E1" s="2"/>
    </row>
    <row r="2" spans="1:5" x14ac:dyDescent="0.3">
      <c r="B2" s="9" t="s">
        <v>1</v>
      </c>
      <c r="C2" s="10" t="s">
        <v>0</v>
      </c>
    </row>
    <row r="3" spans="1:5" ht="15" thickBot="1" x14ac:dyDescent="0.35">
      <c r="B3" s="11">
        <f>SUM(B4,B5,B6,B7,B8,B9,B10,B11,B12,B13,B14,B15,B16)</f>
        <v>1774</v>
      </c>
      <c r="C3" s="12">
        <f>SUM(C4,C5,C6,C7,C8,C9,C10,C11,C12,C13,C14,C15,C16)</f>
        <v>557</v>
      </c>
    </row>
    <row r="4" spans="1:5" s="5" customFormat="1" x14ac:dyDescent="0.3">
      <c r="A4" s="4" t="s">
        <v>2</v>
      </c>
      <c r="B4" s="5">
        <v>131</v>
      </c>
      <c r="C4" s="5">
        <v>59</v>
      </c>
    </row>
    <row r="5" spans="1:5" x14ac:dyDescent="0.3">
      <c r="A5" s="4" t="s">
        <v>3</v>
      </c>
      <c r="B5" s="5">
        <v>44</v>
      </c>
      <c r="C5" s="5">
        <v>12</v>
      </c>
    </row>
    <row r="6" spans="1:5" x14ac:dyDescent="0.3">
      <c r="A6" s="4" t="s">
        <v>10</v>
      </c>
      <c r="B6" s="5">
        <v>795</v>
      </c>
      <c r="C6" s="6">
        <v>254</v>
      </c>
    </row>
    <row r="7" spans="1:5" x14ac:dyDescent="0.3">
      <c r="A7" s="4" t="s">
        <v>5</v>
      </c>
      <c r="B7" s="5">
        <v>766</v>
      </c>
      <c r="C7" s="5">
        <v>218</v>
      </c>
    </row>
    <row r="8" spans="1:5" x14ac:dyDescent="0.3">
      <c r="A8" s="4" t="s">
        <v>6</v>
      </c>
      <c r="B8" s="5">
        <v>9</v>
      </c>
      <c r="C8" s="5">
        <v>4</v>
      </c>
    </row>
    <row r="9" spans="1:5" x14ac:dyDescent="0.3">
      <c r="A9" s="4" t="s">
        <v>7</v>
      </c>
      <c r="B9" s="7">
        <v>5</v>
      </c>
      <c r="C9" s="7">
        <v>3</v>
      </c>
    </row>
    <row r="10" spans="1:5" x14ac:dyDescent="0.3">
      <c r="A10" s="4" t="s">
        <v>8</v>
      </c>
      <c r="B10" s="5">
        <v>9</v>
      </c>
      <c r="C10" s="5">
        <v>4</v>
      </c>
    </row>
    <row r="11" spans="1:5" x14ac:dyDescent="0.3">
      <c r="A11" s="4" t="s">
        <v>9</v>
      </c>
      <c r="B11" s="5">
        <v>0</v>
      </c>
      <c r="C11" s="5">
        <v>0</v>
      </c>
    </row>
    <row r="12" spans="1:5" x14ac:dyDescent="0.3">
      <c r="A12" s="4" t="s">
        <v>10</v>
      </c>
      <c r="B12" s="5">
        <v>8</v>
      </c>
      <c r="C12" s="5">
        <v>0</v>
      </c>
    </row>
    <row r="13" spans="1:5" x14ac:dyDescent="0.3">
      <c r="A13" s="4" t="s">
        <v>11</v>
      </c>
      <c r="B13" s="5">
        <v>7</v>
      </c>
      <c r="C13" s="5">
        <v>3</v>
      </c>
    </row>
    <row r="14" spans="1:5" x14ac:dyDescent="0.3">
      <c r="A14" s="4" t="s">
        <v>12</v>
      </c>
      <c r="B14" s="5">
        <v>0</v>
      </c>
      <c r="C14" s="5">
        <v>0</v>
      </c>
    </row>
    <row r="15" spans="1:5" x14ac:dyDescent="0.3">
      <c r="A15" s="4" t="s">
        <v>13</v>
      </c>
      <c r="B15" s="5">
        <v>0</v>
      </c>
      <c r="C15" s="5">
        <v>0</v>
      </c>
    </row>
    <row r="16" spans="1:5" x14ac:dyDescent="0.3">
      <c r="A16" s="4" t="s">
        <v>14</v>
      </c>
      <c r="B16" s="5">
        <v>0</v>
      </c>
      <c r="C16" s="5">
        <v>0</v>
      </c>
    </row>
    <row r="17" spans="1:2" x14ac:dyDescent="0.3">
      <c r="B17" s="3"/>
    </row>
    <row r="19" spans="1:2" x14ac:dyDescent="0.3">
      <c r="A19" s="13"/>
    </row>
  </sheetData>
  <mergeCells count="1">
    <mergeCell ref="A1:D1"/>
  </mergeCells>
  <pageMargins left="0.7" right="0.7" top="0.75" bottom="0.75" header="0.3" footer="0.3"/>
  <pageSetup orientation="portrait" verticalDpi="0" r:id="rId1"/>
  <drawing r:id="rId2"/>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1-000000000000}">
  <dimension ref="A1:P17"/>
  <sheetViews>
    <sheetView zoomScale="105" zoomScaleNormal="105" workbookViewId="0">
      <selection activeCell="A24" sqref="A2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16" ht="15" thickBot="1" x14ac:dyDescent="0.35">
      <c r="A1" s="44" t="s">
        <v>15</v>
      </c>
      <c r="B1" s="44"/>
      <c r="C1" s="44"/>
      <c r="D1" s="44"/>
      <c r="E1" s="2"/>
    </row>
    <row r="2" spans="1:16" x14ac:dyDescent="0.3">
      <c r="B2" s="9" t="s">
        <v>1</v>
      </c>
      <c r="C2" s="10" t="s">
        <v>0</v>
      </c>
    </row>
    <row r="3" spans="1:16" ht="15" thickBot="1" x14ac:dyDescent="0.35">
      <c r="B3" s="11">
        <f>SUM(B4,B5,B6,B7,B8,B9,B10,B11,B12,B13,B14,B15,B16)</f>
        <v>1609</v>
      </c>
      <c r="C3" s="12">
        <f>SUM(C4,C5,C6,C7,C8,C9,C10,C11,C12,C13,C14,C15,C16)</f>
        <v>578</v>
      </c>
    </row>
    <row r="4" spans="1:16" s="5" customFormat="1" x14ac:dyDescent="0.3">
      <c r="A4" s="4" t="s">
        <v>2</v>
      </c>
      <c r="B4" s="5">
        <v>134</v>
      </c>
      <c r="C4" s="5">
        <v>63</v>
      </c>
    </row>
    <row r="5" spans="1:16" s="16" customFormat="1" x14ac:dyDescent="0.3">
      <c r="A5" s="14" t="s">
        <v>3</v>
      </c>
      <c r="B5" s="7">
        <v>47</v>
      </c>
      <c r="C5" s="7">
        <v>14</v>
      </c>
      <c r="D5" s="15"/>
      <c r="E5" s="15"/>
      <c r="F5" s="15"/>
      <c r="G5" s="15"/>
      <c r="H5" s="15"/>
      <c r="I5" s="15"/>
      <c r="J5" s="15"/>
      <c r="K5" s="15"/>
      <c r="L5" s="15"/>
      <c r="M5" s="15"/>
      <c r="N5" s="15"/>
      <c r="O5" s="15"/>
      <c r="P5" s="15"/>
    </row>
    <row r="6" spans="1:16" x14ac:dyDescent="0.3">
      <c r="A6" s="4" t="s">
        <v>4</v>
      </c>
      <c r="B6" s="5">
        <v>738</v>
      </c>
      <c r="C6" s="6">
        <v>261</v>
      </c>
    </row>
    <row r="7" spans="1:16" x14ac:dyDescent="0.3">
      <c r="A7" s="4" t="s">
        <v>5</v>
      </c>
      <c r="B7" s="5">
        <v>653</v>
      </c>
      <c r="C7" s="5">
        <v>226</v>
      </c>
    </row>
    <row r="8" spans="1:16" x14ac:dyDescent="0.3">
      <c r="A8" s="4" t="s">
        <v>6</v>
      </c>
      <c r="B8" s="5">
        <v>9</v>
      </c>
      <c r="C8" s="5">
        <v>4</v>
      </c>
    </row>
    <row r="9" spans="1:16" x14ac:dyDescent="0.3">
      <c r="A9" s="4" t="s">
        <v>7</v>
      </c>
      <c r="B9" s="7">
        <v>5</v>
      </c>
      <c r="C9" s="7">
        <v>3</v>
      </c>
    </row>
    <row r="10" spans="1:16" x14ac:dyDescent="0.3">
      <c r="A10" s="4" t="s">
        <v>8</v>
      </c>
      <c r="B10" s="5">
        <v>8</v>
      </c>
      <c r="C10" s="5">
        <v>4</v>
      </c>
    </row>
    <row r="11" spans="1:16" x14ac:dyDescent="0.3">
      <c r="A11" s="4" t="s">
        <v>9</v>
      </c>
      <c r="B11" s="5">
        <v>0</v>
      </c>
      <c r="C11" s="5">
        <v>0</v>
      </c>
    </row>
    <row r="12" spans="1:16" x14ac:dyDescent="0.3">
      <c r="A12" s="4" t="s">
        <v>10</v>
      </c>
      <c r="B12" s="5">
        <v>8</v>
      </c>
      <c r="C12" s="5">
        <v>0</v>
      </c>
    </row>
    <row r="13" spans="1:16" x14ac:dyDescent="0.3">
      <c r="A13" s="4" t="s">
        <v>11</v>
      </c>
      <c r="B13" s="5">
        <v>7</v>
      </c>
      <c r="C13" s="5">
        <v>3</v>
      </c>
    </row>
    <row r="14" spans="1:16" x14ac:dyDescent="0.3">
      <c r="A14" s="4" t="s">
        <v>12</v>
      </c>
      <c r="B14" s="5">
        <v>0</v>
      </c>
      <c r="C14" s="5">
        <v>0</v>
      </c>
    </row>
    <row r="15" spans="1:16" x14ac:dyDescent="0.3">
      <c r="A15" s="4" t="s">
        <v>13</v>
      </c>
      <c r="B15" s="5">
        <v>0</v>
      </c>
      <c r="C15" s="5">
        <v>0</v>
      </c>
    </row>
    <row r="16" spans="1:16" x14ac:dyDescent="0.3">
      <c r="A16" s="4" t="s">
        <v>14</v>
      </c>
      <c r="B16" s="5">
        <v>0</v>
      </c>
      <c r="C16" s="5">
        <v>0</v>
      </c>
    </row>
    <row r="17" spans="2:2" x14ac:dyDescent="0.3">
      <c r="B17" s="3"/>
    </row>
  </sheetData>
  <mergeCells count="1">
    <mergeCell ref="A1:D1"/>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9E6CE-79A8-4284-AFBB-095D7A2D876F}">
  <dimension ref="A1:P27"/>
  <sheetViews>
    <sheetView zoomScaleNormal="100" workbookViewId="0">
      <selection activeCell="A27" sqref="A27"/>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527</v>
      </c>
      <c r="B1" s="44"/>
      <c r="C1" s="44"/>
      <c r="D1" s="44"/>
      <c r="E1" s="2"/>
    </row>
    <row r="2" spans="1:5" x14ac:dyDescent="0.3">
      <c r="B2" s="9" t="s">
        <v>1</v>
      </c>
      <c r="C2" s="10" t="s">
        <v>0</v>
      </c>
    </row>
    <row r="3" spans="1:5" ht="15" thickBot="1" x14ac:dyDescent="0.35">
      <c r="B3" s="20">
        <f>SUM(B4,B5,B6,B7,B8,B9,B10,B11,B12,B13,B16,B15,B14)</f>
        <v>5100</v>
      </c>
      <c r="C3" s="12">
        <f>SUM(C4,C5,C6,C7,C8,C9,,C10,C11,C12,C13,C16,C15,C14)</f>
        <v>299</v>
      </c>
    </row>
    <row r="4" spans="1:5" s="5" customFormat="1" x14ac:dyDescent="0.3">
      <c r="A4" s="4" t="s">
        <v>2</v>
      </c>
      <c r="B4" s="18">
        <v>410</v>
      </c>
      <c r="C4" s="5">
        <v>38</v>
      </c>
    </row>
    <row r="5" spans="1:5" x14ac:dyDescent="0.3">
      <c r="A5" s="4" t="s">
        <v>3</v>
      </c>
      <c r="B5" s="30">
        <v>702</v>
      </c>
      <c r="C5" s="30">
        <v>28</v>
      </c>
      <c r="D5" s="5"/>
    </row>
    <row r="6" spans="1:5" x14ac:dyDescent="0.3">
      <c r="A6" s="4" t="s">
        <v>4</v>
      </c>
      <c r="B6" s="19">
        <v>1474</v>
      </c>
      <c r="C6" s="6">
        <v>139</v>
      </c>
      <c r="D6" s="5"/>
    </row>
    <row r="7" spans="1:5" x14ac:dyDescent="0.3">
      <c r="A7" s="4" t="s">
        <v>5</v>
      </c>
      <c r="B7" s="32">
        <v>2109</v>
      </c>
      <c r="C7" s="5">
        <v>57</v>
      </c>
      <c r="D7" s="5"/>
    </row>
    <row r="8" spans="1:5" s="15" customFormat="1" x14ac:dyDescent="0.3">
      <c r="A8" s="14" t="s">
        <v>6</v>
      </c>
      <c r="B8" s="6">
        <v>41</v>
      </c>
      <c r="C8" s="6">
        <v>8</v>
      </c>
      <c r="D8" s="5"/>
    </row>
    <row r="9" spans="1:5" x14ac:dyDescent="0.3">
      <c r="A9" s="4" t="s">
        <v>7</v>
      </c>
      <c r="B9" s="5">
        <v>33</v>
      </c>
      <c r="C9" s="5">
        <v>5</v>
      </c>
      <c r="D9" s="5"/>
    </row>
    <row r="10" spans="1:5" x14ac:dyDescent="0.3">
      <c r="A10" s="4" t="s">
        <v>8</v>
      </c>
      <c r="B10" s="5">
        <v>53</v>
      </c>
      <c r="C10" s="5">
        <v>7</v>
      </c>
      <c r="D10" s="5"/>
    </row>
    <row r="11" spans="1:5" x14ac:dyDescent="0.3">
      <c r="A11" s="4" t="s">
        <v>9</v>
      </c>
      <c r="B11" s="5">
        <v>27</v>
      </c>
      <c r="C11" s="5">
        <v>0</v>
      </c>
      <c r="D11" s="5"/>
    </row>
    <row r="12" spans="1:5" x14ac:dyDescent="0.3">
      <c r="A12" s="4" t="s">
        <v>10</v>
      </c>
      <c r="B12" s="5">
        <v>229</v>
      </c>
      <c r="C12" s="5">
        <v>15</v>
      </c>
      <c r="D12" s="5"/>
    </row>
    <row r="13" spans="1:5" x14ac:dyDescent="0.3">
      <c r="A13" s="4" t="s">
        <v>11</v>
      </c>
      <c r="B13" s="5">
        <v>16</v>
      </c>
      <c r="C13" s="5">
        <v>2</v>
      </c>
      <c r="D13" s="5"/>
    </row>
    <row r="14" spans="1:5" x14ac:dyDescent="0.3">
      <c r="A14" s="4" t="s">
        <v>12</v>
      </c>
      <c r="B14" s="8">
        <v>4</v>
      </c>
      <c r="C14" s="7">
        <v>0</v>
      </c>
      <c r="D14" s="5"/>
    </row>
    <row r="15" spans="1:5" x14ac:dyDescent="0.3">
      <c r="A15" s="4" t="s">
        <v>13</v>
      </c>
      <c r="B15" s="5">
        <v>2</v>
      </c>
      <c r="C15" s="5">
        <v>0</v>
      </c>
      <c r="D15" s="5" t="s">
        <v>231</v>
      </c>
    </row>
    <row r="16" spans="1:5" x14ac:dyDescent="0.3">
      <c r="A16" s="4" t="s">
        <v>14</v>
      </c>
      <c r="B16" s="5">
        <v>0</v>
      </c>
      <c r="C16" s="5">
        <v>0</v>
      </c>
      <c r="D16" s="5"/>
    </row>
    <row r="17" spans="1:9" x14ac:dyDescent="0.3">
      <c r="B17" s="3"/>
    </row>
    <row r="20" spans="1:9" x14ac:dyDescent="0.3">
      <c r="A20" s="1" t="s">
        <v>122</v>
      </c>
    </row>
    <row r="21" spans="1:9" s="3" customFormat="1" x14ac:dyDescent="0.3">
      <c r="A21" s="33" t="s">
        <v>532</v>
      </c>
      <c r="B21" s="8"/>
    </row>
    <row r="22" spans="1:9" s="3" customFormat="1" x14ac:dyDescent="0.3">
      <c r="A22" s="34" t="s">
        <v>531</v>
      </c>
      <c r="B22" s="8"/>
    </row>
    <row r="23" spans="1:9" s="3" customFormat="1" x14ac:dyDescent="0.3">
      <c r="A23" s="35" t="s">
        <v>471</v>
      </c>
      <c r="B23" s="8"/>
    </row>
    <row r="24" spans="1:9" s="3" customFormat="1" x14ac:dyDescent="0.3">
      <c r="A24" s="33" t="s">
        <v>529</v>
      </c>
      <c r="B24" s="8"/>
    </row>
    <row r="25" spans="1:9" s="3" customFormat="1" x14ac:dyDescent="0.3">
      <c r="A25" s="36" t="s">
        <v>530</v>
      </c>
      <c r="B25" s="8"/>
    </row>
    <row r="26" spans="1:9" s="3" customFormat="1" x14ac:dyDescent="0.3">
      <c r="A26" s="33" t="s">
        <v>520</v>
      </c>
      <c r="B26" s="8"/>
      <c r="I26" s="3" t="s">
        <v>414</v>
      </c>
    </row>
    <row r="27" spans="1:9" x14ac:dyDescent="0.3">
      <c r="A27" s="33" t="s">
        <v>528</v>
      </c>
    </row>
  </sheetData>
  <mergeCells count="1">
    <mergeCell ref="A1:D1"/>
  </mergeCells>
  <hyperlinks>
    <hyperlink ref="A21" r:id="rId1" display="** NT's official website does not disclose the number of current hospitalizations, but according to a news article dated July 31st,  the NWT Department of Health and Social Services spokesperson Jeremy Bird informed that 'There has been a slight uptick in hospitalizations recently, with four in the last 30 days, but this has been manageable so far.'" xr:uid="{29C865BD-9D64-4B5C-9C5C-1FA1040B42C4}"/>
    <hyperlink ref="A22" r:id="rId2" display="**** YT's official website is now informing the number of hospitalizations, which is 2 as of March 7th." xr:uid="{46F64C35-C969-4104-9472-167B2F2847D8}"/>
    <hyperlink ref="A23" r:id="rId3" xr:uid="{0AA7F54D-DC11-444A-9010-D03AA6DEBEBD}"/>
    <hyperlink ref="A24" r:id="rId4" display="*****NB's latest official report only informs the number of patients admitted for Covid-19, not including the number of patients that were admitted for other reasons and tested positive for Covid-19 later on." xr:uid="{40372A20-D41E-4A97-901A-28939B712261}"/>
    <hyperlink ref="A26" r:id="rId5" display="*******SK's information was extracted from the latest official report from May 25th, covering the week of May 15th-21st." xr:uid="{D07B68F1-B073-4719-8E31-3410537CA1A9}"/>
    <hyperlink ref="A25" r:id="rId6" display="******MB's official website is no longer doing daily reporting. The information was extracted from the latest offical report from May 10th. Note that these are the numbers of new hospitalizations and ICU admissions for the May 1st-7th week. The numbers of" xr:uid="{53A595EE-3C4B-45D6-B8FD-9CC39A2D932F}"/>
    <hyperlink ref="A27" r:id="rId7" xr:uid="{A25BB28E-E0DF-4308-AA47-9C43F21D95DD}"/>
  </hyperlinks>
  <pageMargins left="0.7" right="0.7" top="0.75" bottom="0.75" header="0.3" footer="0.3"/>
  <pageSetup orientation="portrait" r:id="rId8"/>
  <drawing r:id="rId9"/>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P28"/>
  <sheetViews>
    <sheetView zoomScaleNormal="100" workbookViewId="0">
      <selection activeCell="A28" sqref="A28"/>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407</v>
      </c>
      <c r="B1" s="44"/>
      <c r="C1" s="44"/>
      <c r="D1" s="44"/>
      <c r="E1" s="2"/>
    </row>
    <row r="2" spans="1:5" x14ac:dyDescent="0.3">
      <c r="B2" s="9" t="s">
        <v>1</v>
      </c>
      <c r="C2" s="10" t="s">
        <v>0</v>
      </c>
    </row>
    <row r="3" spans="1:5" ht="15" thickBot="1" x14ac:dyDescent="0.35">
      <c r="B3" s="20">
        <f>SUM(B4,B5,B6,B7,B8,B9,B10,B11,B12,B13,B16,B15,B14)</f>
        <v>3626</v>
      </c>
      <c r="C3" s="12">
        <f>SUM(C4,C5,C6,C7,C8,C9,,C10,C11,C12,C13,C16,C15,C14)</f>
        <v>417</v>
      </c>
    </row>
    <row r="4" spans="1:5" s="5" customFormat="1" x14ac:dyDescent="0.3">
      <c r="A4" s="4" t="s">
        <v>2</v>
      </c>
      <c r="B4" s="5">
        <v>298</v>
      </c>
      <c r="C4" s="5">
        <v>49</v>
      </c>
    </row>
    <row r="5" spans="1:5" x14ac:dyDescent="0.3">
      <c r="A5" s="4" t="s">
        <v>3</v>
      </c>
      <c r="B5" s="30">
        <v>966</v>
      </c>
      <c r="C5" s="30">
        <v>62</v>
      </c>
      <c r="D5" s="5"/>
    </row>
    <row r="6" spans="1:5" x14ac:dyDescent="0.3">
      <c r="A6" s="4" t="s">
        <v>4</v>
      </c>
      <c r="B6" s="19">
        <v>615</v>
      </c>
      <c r="C6" s="6">
        <v>193</v>
      </c>
      <c r="D6" s="5"/>
    </row>
    <row r="7" spans="1:5" x14ac:dyDescent="0.3">
      <c r="A7" s="4" t="s">
        <v>5</v>
      </c>
      <c r="B7" s="32">
        <v>1021</v>
      </c>
      <c r="C7" s="5">
        <v>45</v>
      </c>
      <c r="D7" s="5"/>
    </row>
    <row r="8" spans="1:5" s="15" customFormat="1" x14ac:dyDescent="0.3">
      <c r="A8" s="14" t="s">
        <v>6</v>
      </c>
      <c r="B8" s="6">
        <v>38</v>
      </c>
      <c r="C8" s="6">
        <v>12</v>
      </c>
      <c r="D8" s="5"/>
    </row>
    <row r="9" spans="1:5" x14ac:dyDescent="0.3">
      <c r="A9" s="4" t="s">
        <v>7</v>
      </c>
      <c r="B9" s="5">
        <v>99</v>
      </c>
      <c r="C9" s="5">
        <v>13</v>
      </c>
      <c r="D9" s="5"/>
    </row>
    <row r="10" spans="1:5" x14ac:dyDescent="0.3">
      <c r="A10" s="4" t="s">
        <v>8</v>
      </c>
      <c r="B10" s="5">
        <v>164</v>
      </c>
      <c r="C10" s="5">
        <v>13</v>
      </c>
      <c r="D10" s="5"/>
    </row>
    <row r="11" spans="1:5" x14ac:dyDescent="0.3">
      <c r="A11" s="4" t="s">
        <v>9</v>
      </c>
      <c r="B11" s="5">
        <v>27</v>
      </c>
      <c r="C11" s="5">
        <v>0</v>
      </c>
      <c r="D11" s="5"/>
    </row>
    <row r="12" spans="1:5" x14ac:dyDescent="0.3">
      <c r="A12" s="4" t="s">
        <v>10</v>
      </c>
      <c r="B12" s="5">
        <v>299</v>
      </c>
      <c r="C12" s="5">
        <v>18</v>
      </c>
      <c r="D12" s="5"/>
    </row>
    <row r="13" spans="1:5" x14ac:dyDescent="0.3">
      <c r="A13" s="4" t="s">
        <v>11</v>
      </c>
      <c r="B13" s="5">
        <v>27</v>
      </c>
      <c r="C13" s="5">
        <v>3</v>
      </c>
      <c r="D13" s="5"/>
    </row>
    <row r="14" spans="1:5" x14ac:dyDescent="0.3">
      <c r="A14" s="4" t="s">
        <v>12</v>
      </c>
      <c r="B14" s="8">
        <v>38</v>
      </c>
      <c r="C14" s="7">
        <v>9</v>
      </c>
      <c r="D14" s="5"/>
    </row>
    <row r="15" spans="1:5" x14ac:dyDescent="0.3">
      <c r="A15" s="4" t="s">
        <v>13</v>
      </c>
      <c r="B15" s="5">
        <v>1</v>
      </c>
      <c r="C15" s="5">
        <v>0</v>
      </c>
      <c r="D15" s="5" t="s">
        <v>231</v>
      </c>
    </row>
    <row r="16" spans="1:5" x14ac:dyDescent="0.3">
      <c r="A16" s="4" t="s">
        <v>14</v>
      </c>
      <c r="B16" s="5">
        <v>33</v>
      </c>
      <c r="C16" s="5">
        <v>0</v>
      </c>
      <c r="D16" s="5"/>
    </row>
    <row r="17" spans="1:9" x14ac:dyDescent="0.3">
      <c r="B17" s="3"/>
    </row>
    <row r="20" spans="1:9" x14ac:dyDescent="0.3">
      <c r="A20" s="1" t="s">
        <v>122</v>
      </c>
    </row>
    <row r="21" spans="1:9" x14ac:dyDescent="0.3">
      <c r="A21" s="33" t="s">
        <v>409</v>
      </c>
    </row>
    <row r="22" spans="1:9" x14ac:dyDescent="0.3">
      <c r="A22" s="33" t="s">
        <v>411</v>
      </c>
    </row>
    <row r="23" spans="1:9" x14ac:dyDescent="0.3">
      <c r="A23" s="34" t="s">
        <v>412</v>
      </c>
    </row>
    <row r="24" spans="1:9" x14ac:dyDescent="0.3">
      <c r="A24" s="35" t="s">
        <v>402</v>
      </c>
    </row>
    <row r="25" spans="1:9" x14ac:dyDescent="0.3">
      <c r="A25" s="33" t="s">
        <v>410</v>
      </c>
    </row>
    <row r="26" spans="1:9" x14ac:dyDescent="0.3">
      <c r="A26" s="33" t="s">
        <v>408</v>
      </c>
    </row>
    <row r="27" spans="1:9" x14ac:dyDescent="0.3">
      <c r="A27" s="33" t="s">
        <v>413</v>
      </c>
    </row>
    <row r="28" spans="1:9" x14ac:dyDescent="0.3">
      <c r="A28"/>
      <c r="I28" s="3" t="s">
        <v>414</v>
      </c>
    </row>
  </sheetData>
  <mergeCells count="1">
    <mergeCell ref="A1:D1"/>
  </mergeCells>
  <hyperlinks>
    <hyperlink ref="A22" r:id="rId1" xr:uid="{00000000-0004-0000-1100-000000000000}"/>
    <hyperlink ref="A23" r:id="rId2" display="**** YT's official website is now informing the number of hospitalizations, which is 2 as of March 7th." xr:uid="{00000000-0004-0000-1100-000001000000}"/>
    <hyperlink ref="A24" r:id="rId3" xr:uid="{00000000-0004-0000-1100-000002000000}"/>
    <hyperlink ref="A21" r:id="rId4" xr:uid="{00000000-0004-0000-1100-000003000000}"/>
    <hyperlink ref="A25" r:id="rId5" xr:uid="{00000000-0004-0000-1100-000004000000}"/>
    <hyperlink ref="A26" r:id="rId6" xr:uid="{00000000-0004-0000-1100-000005000000}"/>
    <hyperlink ref="A27" r:id="rId7" xr:uid="{00000000-0004-0000-1100-000006000000}"/>
  </hyperlinks>
  <pageMargins left="0.7" right="0.7" top="0.75" bottom="0.75" header="0.3" footer="0.3"/>
  <pageSetup orientation="portrait" r:id="rId8"/>
  <drawing r:id="rId9"/>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P27"/>
  <sheetViews>
    <sheetView zoomScaleNormal="100" workbookViewId="0">
      <selection activeCell="B11" sqref="B11"/>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404</v>
      </c>
      <c r="B1" s="44"/>
      <c r="C1" s="44"/>
      <c r="D1" s="44"/>
      <c r="E1" s="2"/>
    </row>
    <row r="2" spans="1:5" x14ac:dyDescent="0.3">
      <c r="B2" s="9" t="s">
        <v>1</v>
      </c>
      <c r="C2" s="10" t="s">
        <v>0</v>
      </c>
    </row>
    <row r="3" spans="1:5" ht="15" thickBot="1" x14ac:dyDescent="0.35">
      <c r="B3" s="20">
        <f>SUM(B4,B5,B6,B7,B8,B9,B10,B11,B12,B13,B16,B15,B14)</f>
        <v>3819</v>
      </c>
      <c r="C3" s="12">
        <f>SUM(C4,C5,C6,C7,C8,C9,,C10,C11,C12,C13,C16,C15,C14)</f>
        <v>437</v>
      </c>
    </row>
    <row r="4" spans="1:5" s="5" customFormat="1" x14ac:dyDescent="0.3">
      <c r="A4" s="4" t="s">
        <v>2</v>
      </c>
      <c r="B4" s="5">
        <v>345</v>
      </c>
      <c r="C4" s="5">
        <v>50</v>
      </c>
    </row>
    <row r="5" spans="1:5" x14ac:dyDescent="0.3">
      <c r="A5" s="4" t="s">
        <v>3</v>
      </c>
      <c r="B5" s="30">
        <v>1001</v>
      </c>
      <c r="C5" s="30">
        <v>70</v>
      </c>
      <c r="D5" s="5"/>
    </row>
    <row r="6" spans="1:5" x14ac:dyDescent="0.3">
      <c r="A6" s="4" t="s">
        <v>4</v>
      </c>
      <c r="B6" s="19">
        <v>649</v>
      </c>
      <c r="C6" s="6">
        <v>204</v>
      </c>
      <c r="D6" s="5"/>
    </row>
    <row r="7" spans="1:5" x14ac:dyDescent="0.3">
      <c r="A7" s="4" t="s">
        <v>5</v>
      </c>
      <c r="B7" s="32">
        <v>1073</v>
      </c>
      <c r="C7" s="5">
        <v>56</v>
      </c>
      <c r="D7" s="5"/>
    </row>
    <row r="8" spans="1:5" s="15" customFormat="1" x14ac:dyDescent="0.3">
      <c r="A8" s="14" t="s">
        <v>6</v>
      </c>
      <c r="B8" s="6">
        <v>50</v>
      </c>
      <c r="C8" s="6">
        <v>13</v>
      </c>
      <c r="D8" s="5"/>
    </row>
    <row r="9" spans="1:5" x14ac:dyDescent="0.3">
      <c r="A9" s="4" t="s">
        <v>7</v>
      </c>
      <c r="B9" s="5">
        <v>99</v>
      </c>
      <c r="C9" s="5">
        <v>13</v>
      </c>
      <c r="D9" s="5"/>
    </row>
    <row r="10" spans="1:5" x14ac:dyDescent="0.3">
      <c r="A10" s="4" t="s">
        <v>8</v>
      </c>
      <c r="B10" s="5">
        <v>152</v>
      </c>
      <c r="C10" s="5">
        <v>8</v>
      </c>
      <c r="D10" s="5"/>
    </row>
    <row r="11" spans="1:5" x14ac:dyDescent="0.3">
      <c r="A11" s="4" t="s">
        <v>9</v>
      </c>
      <c r="B11" s="5">
        <v>27</v>
      </c>
      <c r="C11" s="5">
        <v>0</v>
      </c>
      <c r="D11" s="5"/>
    </row>
    <row r="12" spans="1:5" x14ac:dyDescent="0.3">
      <c r="A12" s="4" t="s">
        <v>10</v>
      </c>
      <c r="B12" s="5">
        <v>339</v>
      </c>
      <c r="C12" s="5">
        <v>12</v>
      </c>
      <c r="D12" s="5"/>
    </row>
    <row r="13" spans="1:5" x14ac:dyDescent="0.3">
      <c r="A13" s="4" t="s">
        <v>11</v>
      </c>
      <c r="B13" s="5">
        <v>22</v>
      </c>
      <c r="C13" s="5">
        <v>5</v>
      </c>
      <c r="D13" s="5"/>
    </row>
    <row r="14" spans="1:5" x14ac:dyDescent="0.3">
      <c r="A14" s="4" t="s">
        <v>12</v>
      </c>
      <c r="B14" s="8">
        <v>29</v>
      </c>
      <c r="C14" s="7">
        <v>6</v>
      </c>
      <c r="D14" s="5"/>
    </row>
    <row r="15" spans="1:5" x14ac:dyDescent="0.3">
      <c r="A15" s="4" t="s">
        <v>13</v>
      </c>
      <c r="B15" s="5">
        <v>0</v>
      </c>
      <c r="C15" s="5">
        <v>0</v>
      </c>
      <c r="D15" s="5" t="s">
        <v>231</v>
      </c>
    </row>
    <row r="16" spans="1:5" x14ac:dyDescent="0.3">
      <c r="A16" s="4" t="s">
        <v>14</v>
      </c>
      <c r="B16" s="5">
        <v>33</v>
      </c>
      <c r="C16" s="5">
        <v>0</v>
      </c>
      <c r="D16" s="5"/>
    </row>
    <row r="17" spans="1:2" x14ac:dyDescent="0.3">
      <c r="B17" s="3"/>
    </row>
    <row r="20" spans="1:2" x14ac:dyDescent="0.3">
      <c r="A20" s="1" t="s">
        <v>122</v>
      </c>
    </row>
    <row r="21" spans="1:2" x14ac:dyDescent="0.3">
      <c r="A21" s="33" t="s">
        <v>406</v>
      </c>
    </row>
    <row r="22" spans="1:2" x14ac:dyDescent="0.3">
      <c r="A22" s="33" t="s">
        <v>381</v>
      </c>
    </row>
    <row r="23" spans="1:2" x14ac:dyDescent="0.3">
      <c r="A23" s="34" t="s">
        <v>401</v>
      </c>
    </row>
    <row r="24" spans="1:2" x14ac:dyDescent="0.3">
      <c r="A24" s="35" t="s">
        <v>402</v>
      </c>
    </row>
    <row r="25" spans="1:2" x14ac:dyDescent="0.3">
      <c r="A25" s="33" t="s">
        <v>405</v>
      </c>
    </row>
    <row r="26" spans="1:2" x14ac:dyDescent="0.3">
      <c r="A26" s="33" t="s">
        <v>399</v>
      </c>
    </row>
    <row r="27" spans="1:2" x14ac:dyDescent="0.3">
      <c r="A27" s="33" t="s">
        <v>403</v>
      </c>
    </row>
  </sheetData>
  <mergeCells count="1">
    <mergeCell ref="A1:D1"/>
  </mergeCells>
  <hyperlinks>
    <hyperlink ref="A22" r:id="rId1" xr:uid="{00000000-0004-0000-1200-000000000000}"/>
    <hyperlink ref="A23" r:id="rId2" display="**** YT's official website is now informing the number of hospitalizations, which is 2 as of March 7th." xr:uid="{00000000-0004-0000-1200-000001000000}"/>
    <hyperlink ref="A24" r:id="rId3" xr:uid="{00000000-0004-0000-1200-000002000000}"/>
    <hyperlink ref="A21" r:id="rId4" xr:uid="{00000000-0004-0000-1200-000003000000}"/>
    <hyperlink ref="A25" r:id="rId5" xr:uid="{00000000-0004-0000-1200-000004000000}"/>
    <hyperlink ref="A26" r:id="rId6" xr:uid="{00000000-0004-0000-1200-000005000000}"/>
    <hyperlink ref="A27" r:id="rId7" display="*********NS moved from daily to weekly reporting. The latest report does not include the number of people in ICU. Therefore, the ICU figure from the March 9th table was kept." xr:uid="{00000000-0004-0000-1200-000006000000}"/>
  </hyperlinks>
  <pageMargins left="0.7" right="0.7" top="0.75" bottom="0.75" header="0.3" footer="0.3"/>
  <pageSetup orientation="portrait" r:id="rId8"/>
  <drawing r:id="rId9"/>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P27"/>
  <sheetViews>
    <sheetView zoomScaleNormal="100" workbookViewId="0">
      <selection activeCell="A27" sqref="A27"/>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397</v>
      </c>
      <c r="B1" s="44"/>
      <c r="C1" s="44"/>
      <c r="D1" s="44"/>
      <c r="E1" s="2"/>
    </row>
    <row r="2" spans="1:5" x14ac:dyDescent="0.3">
      <c r="B2" s="9" t="s">
        <v>1</v>
      </c>
      <c r="C2" s="10" t="s">
        <v>0</v>
      </c>
    </row>
    <row r="3" spans="1:5" ht="15" thickBot="1" x14ac:dyDescent="0.35">
      <c r="B3" s="20">
        <f>SUM(B4,B5,B6,B7,B8,B9,B10,B11,B12,B13,B16,B15,B14)</f>
        <v>4045</v>
      </c>
      <c r="C3" s="12">
        <f>SUM(C4,C5,C6,C7,C8,C9,,C10,C11,C12,C13,C16,C15,C14)</f>
        <v>510</v>
      </c>
    </row>
    <row r="4" spans="1:5" s="5" customFormat="1" x14ac:dyDescent="0.3">
      <c r="A4" s="4" t="s">
        <v>2</v>
      </c>
      <c r="B4" s="5">
        <v>388</v>
      </c>
      <c r="C4" s="5">
        <v>52</v>
      </c>
    </row>
    <row r="5" spans="1:5" x14ac:dyDescent="0.3">
      <c r="A5" s="4" t="s">
        <v>3</v>
      </c>
      <c r="B5" s="30">
        <v>1067</v>
      </c>
      <c r="C5" s="30">
        <v>76</v>
      </c>
      <c r="D5" s="5"/>
    </row>
    <row r="6" spans="1:5" x14ac:dyDescent="0.3">
      <c r="A6" s="4" t="s">
        <v>4</v>
      </c>
      <c r="B6" s="19">
        <v>717</v>
      </c>
      <c r="C6" s="6">
        <v>238</v>
      </c>
      <c r="D6" s="5"/>
    </row>
    <row r="7" spans="1:5" x14ac:dyDescent="0.3">
      <c r="A7" s="4" t="s">
        <v>5</v>
      </c>
      <c r="B7" s="32">
        <v>1126</v>
      </c>
      <c r="C7" s="5">
        <v>65</v>
      </c>
      <c r="D7" s="5"/>
    </row>
    <row r="8" spans="1:5" s="15" customFormat="1" x14ac:dyDescent="0.3">
      <c r="A8" s="14" t="s">
        <v>6</v>
      </c>
      <c r="B8" s="6">
        <v>50</v>
      </c>
      <c r="C8" s="6">
        <v>13</v>
      </c>
      <c r="D8" s="5"/>
    </row>
    <row r="9" spans="1:5" x14ac:dyDescent="0.3">
      <c r="A9" s="4" t="s">
        <v>7</v>
      </c>
      <c r="B9" s="5">
        <v>101</v>
      </c>
      <c r="C9" s="5">
        <v>18</v>
      </c>
      <c r="D9" s="5"/>
    </row>
    <row r="10" spans="1:5" x14ac:dyDescent="0.3">
      <c r="A10" s="4" t="s">
        <v>8</v>
      </c>
      <c r="B10" s="5">
        <v>160</v>
      </c>
      <c r="C10" s="5">
        <v>13</v>
      </c>
      <c r="D10" s="5"/>
    </row>
    <row r="11" spans="1:5" x14ac:dyDescent="0.3">
      <c r="A11" s="4" t="s">
        <v>9</v>
      </c>
      <c r="B11" s="5">
        <v>15</v>
      </c>
      <c r="C11" s="5">
        <v>0</v>
      </c>
      <c r="D11" s="5"/>
    </row>
    <row r="12" spans="1:5" x14ac:dyDescent="0.3">
      <c r="A12" s="4" t="s">
        <v>10</v>
      </c>
      <c r="B12" s="5">
        <v>339</v>
      </c>
      <c r="C12" s="5">
        <v>24</v>
      </c>
      <c r="D12" s="5"/>
    </row>
    <row r="13" spans="1:5" x14ac:dyDescent="0.3">
      <c r="A13" s="4" t="s">
        <v>11</v>
      </c>
      <c r="B13" s="5">
        <v>20</v>
      </c>
      <c r="C13" s="5">
        <v>5</v>
      </c>
      <c r="D13" s="5"/>
    </row>
    <row r="14" spans="1:5" x14ac:dyDescent="0.3">
      <c r="A14" s="4" t="s">
        <v>12</v>
      </c>
      <c r="B14" s="8">
        <v>29</v>
      </c>
      <c r="C14" s="7">
        <v>6</v>
      </c>
      <c r="D14" s="5"/>
    </row>
    <row r="15" spans="1:5" x14ac:dyDescent="0.3">
      <c r="A15" s="4" t="s">
        <v>13</v>
      </c>
      <c r="B15" s="5">
        <v>0</v>
      </c>
      <c r="C15" s="5">
        <v>0</v>
      </c>
      <c r="D15" s="5" t="s">
        <v>231</v>
      </c>
    </row>
    <row r="16" spans="1:5" x14ac:dyDescent="0.3">
      <c r="A16" s="4" t="s">
        <v>14</v>
      </c>
      <c r="B16" s="5">
        <v>33</v>
      </c>
      <c r="C16" s="5">
        <v>0</v>
      </c>
      <c r="D16" s="5"/>
    </row>
    <row r="17" spans="1:2" x14ac:dyDescent="0.3">
      <c r="B17" s="3"/>
    </row>
    <row r="20" spans="1:2" x14ac:dyDescent="0.3">
      <c r="A20" s="1" t="s">
        <v>122</v>
      </c>
    </row>
    <row r="21" spans="1:2" x14ac:dyDescent="0.3">
      <c r="A21" s="33" t="s">
        <v>400</v>
      </c>
    </row>
    <row r="22" spans="1:2" x14ac:dyDescent="0.3">
      <c r="A22" s="33" t="s">
        <v>381</v>
      </c>
    </row>
    <row r="23" spans="1:2" x14ac:dyDescent="0.3">
      <c r="A23" s="34" t="s">
        <v>401</v>
      </c>
    </row>
    <row r="24" spans="1:2" x14ac:dyDescent="0.3">
      <c r="A24" s="35" t="s">
        <v>402</v>
      </c>
    </row>
    <row r="25" spans="1:2" x14ac:dyDescent="0.3">
      <c r="A25" s="33" t="s">
        <v>398</v>
      </c>
    </row>
    <row r="26" spans="1:2" x14ac:dyDescent="0.3">
      <c r="A26" s="33" t="s">
        <v>399</v>
      </c>
    </row>
    <row r="27" spans="1:2" x14ac:dyDescent="0.3">
      <c r="A27" s="33" t="s">
        <v>403</v>
      </c>
    </row>
  </sheetData>
  <mergeCells count="1">
    <mergeCell ref="A1:D1"/>
  </mergeCells>
  <hyperlinks>
    <hyperlink ref="A22" r:id="rId1" xr:uid="{00000000-0004-0000-1300-000000000000}"/>
    <hyperlink ref="A23" r:id="rId2" display="**** YT's official website is now informing the number of hospitalizations, which is 2 as of March 7th." xr:uid="{00000000-0004-0000-1300-000001000000}"/>
    <hyperlink ref="A24" r:id="rId3" xr:uid="{00000000-0004-0000-1300-000002000000}"/>
    <hyperlink ref="A21" r:id="rId4" xr:uid="{00000000-0004-0000-1300-000003000000}"/>
    <hyperlink ref="A25" r:id="rId5" display="******NB's  information was extracted from a news article dated from March 8th." xr:uid="{00000000-0004-0000-1300-000004000000}"/>
    <hyperlink ref="A26" r:id="rId6" xr:uid="{00000000-0004-0000-1300-000005000000}"/>
    <hyperlink ref="A27" r:id="rId7" display="*********NS moved from daily to weekly reporting. The latest report does not include the number of people in ICU. Therefore, the ICU figure from the March 9th table was kept." xr:uid="{00000000-0004-0000-1300-000006000000}"/>
  </hyperlinks>
  <pageMargins left="0.7" right="0.7" top="0.75" bottom="0.75" header="0.3" footer="0.3"/>
  <pageSetup orientation="portrait" r:id="rId8"/>
  <drawing r:id="rId9"/>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P26"/>
  <sheetViews>
    <sheetView zoomScaleNormal="100" workbookViewId="0">
      <selection activeCell="A26" sqref="A26"/>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393</v>
      </c>
      <c r="B1" s="44"/>
      <c r="C1" s="44"/>
      <c r="D1" s="44"/>
      <c r="E1" s="2"/>
    </row>
    <row r="2" spans="1:5" x14ac:dyDescent="0.3">
      <c r="B2" s="9" t="s">
        <v>1</v>
      </c>
      <c r="C2" s="10" t="s">
        <v>0</v>
      </c>
    </row>
    <row r="3" spans="1:5" ht="15" thickBot="1" x14ac:dyDescent="0.35">
      <c r="B3" s="20">
        <f>SUM(B4,B5,B6,B7,B8,B9,B10,B11,B12,B13,B16,B15,B14)</f>
        <v>4279</v>
      </c>
      <c r="C3" s="12">
        <f>SUM(C4,C5,C6,C7,C8,C9,,C10,C11,C12,C13,C16,C15,C14)</f>
        <v>528</v>
      </c>
    </row>
    <row r="4" spans="1:5" s="5" customFormat="1" x14ac:dyDescent="0.3">
      <c r="A4" s="4" t="s">
        <v>2</v>
      </c>
      <c r="B4" s="5">
        <v>419</v>
      </c>
      <c r="C4" s="5">
        <v>63</v>
      </c>
    </row>
    <row r="5" spans="1:5" x14ac:dyDescent="0.3">
      <c r="A5" s="4" t="s">
        <v>3</v>
      </c>
      <c r="B5" s="30">
        <v>1106</v>
      </c>
      <c r="C5" s="30">
        <v>77</v>
      </c>
      <c r="D5" s="5"/>
    </row>
    <row r="6" spans="1:5" x14ac:dyDescent="0.3">
      <c r="A6" s="4" t="s">
        <v>4</v>
      </c>
      <c r="B6" s="19">
        <v>751</v>
      </c>
      <c r="C6" s="6">
        <v>241</v>
      </c>
      <c r="D6" s="5"/>
    </row>
    <row r="7" spans="1:5" x14ac:dyDescent="0.3">
      <c r="A7" s="4" t="s">
        <v>5</v>
      </c>
      <c r="B7" s="32">
        <v>1222</v>
      </c>
      <c r="C7" s="5">
        <v>69</v>
      </c>
      <c r="D7" s="5"/>
    </row>
    <row r="8" spans="1:5" s="15" customFormat="1" x14ac:dyDescent="0.3">
      <c r="A8" s="14" t="s">
        <v>6</v>
      </c>
      <c r="B8" s="6">
        <v>45</v>
      </c>
      <c r="C8" s="6">
        <v>13</v>
      </c>
      <c r="D8" s="5"/>
    </row>
    <row r="9" spans="1:5" x14ac:dyDescent="0.3">
      <c r="A9" s="4" t="s">
        <v>7</v>
      </c>
      <c r="B9" s="5">
        <v>99</v>
      </c>
      <c r="C9" s="5">
        <v>12</v>
      </c>
      <c r="D9" s="5"/>
    </row>
    <row r="10" spans="1:5" x14ac:dyDescent="0.3">
      <c r="A10" s="4" t="s">
        <v>8</v>
      </c>
      <c r="B10" s="5">
        <v>175</v>
      </c>
      <c r="C10" s="5">
        <v>12</v>
      </c>
      <c r="D10" s="5"/>
    </row>
    <row r="11" spans="1:5" x14ac:dyDescent="0.3">
      <c r="A11" s="4" t="s">
        <v>9</v>
      </c>
      <c r="B11" s="5">
        <v>9</v>
      </c>
      <c r="C11" s="5">
        <v>0</v>
      </c>
      <c r="D11" s="5"/>
    </row>
    <row r="12" spans="1:5" x14ac:dyDescent="0.3">
      <c r="A12" s="4" t="s">
        <v>10</v>
      </c>
      <c r="B12" s="5">
        <v>372</v>
      </c>
      <c r="C12" s="5">
        <v>30</v>
      </c>
      <c r="D12" s="5"/>
    </row>
    <row r="13" spans="1:5" x14ac:dyDescent="0.3">
      <c r="A13" s="4" t="s">
        <v>11</v>
      </c>
      <c r="B13" s="5">
        <v>25</v>
      </c>
      <c r="C13" s="5">
        <v>5</v>
      </c>
      <c r="D13" s="5"/>
    </row>
    <row r="14" spans="1:5" x14ac:dyDescent="0.3">
      <c r="A14" s="4" t="s">
        <v>12</v>
      </c>
      <c r="B14" s="8">
        <v>29</v>
      </c>
      <c r="C14" s="7">
        <v>6</v>
      </c>
      <c r="D14" s="5"/>
    </row>
    <row r="15" spans="1:5" x14ac:dyDescent="0.3">
      <c r="A15" s="4" t="s">
        <v>13</v>
      </c>
      <c r="B15" s="5">
        <v>0</v>
      </c>
      <c r="C15" s="5">
        <v>0</v>
      </c>
      <c r="D15" s="5" t="s">
        <v>231</v>
      </c>
    </row>
    <row r="16" spans="1:5" x14ac:dyDescent="0.3">
      <c r="A16" s="4" t="s">
        <v>14</v>
      </c>
      <c r="B16" s="5">
        <v>27</v>
      </c>
      <c r="C16" s="5">
        <v>0</v>
      </c>
      <c r="D16" s="5"/>
    </row>
    <row r="17" spans="1:2" x14ac:dyDescent="0.3">
      <c r="B17" s="3"/>
    </row>
    <row r="20" spans="1:2" x14ac:dyDescent="0.3">
      <c r="A20" s="1" t="s">
        <v>122</v>
      </c>
    </row>
    <row r="21" spans="1:2" x14ac:dyDescent="0.3">
      <c r="A21" s="33" t="s">
        <v>391</v>
      </c>
    </row>
    <row r="22" spans="1:2" x14ac:dyDescent="0.3">
      <c r="A22" s="33" t="s">
        <v>381</v>
      </c>
    </row>
    <row r="23" spans="1:2" x14ac:dyDescent="0.3">
      <c r="A23" s="34" t="s">
        <v>395</v>
      </c>
    </row>
    <row r="24" spans="1:2" x14ac:dyDescent="0.3">
      <c r="A24" s="35" t="s">
        <v>387</v>
      </c>
    </row>
    <row r="25" spans="1:2" x14ac:dyDescent="0.3">
      <c r="A25" s="33" t="s">
        <v>394</v>
      </c>
    </row>
    <row r="26" spans="1:2" x14ac:dyDescent="0.3">
      <c r="A26" s="33" t="s">
        <v>396</v>
      </c>
    </row>
  </sheetData>
  <mergeCells count="1">
    <mergeCell ref="A1:D1"/>
  </mergeCells>
  <hyperlinks>
    <hyperlink ref="A22" r:id="rId1" xr:uid="{00000000-0004-0000-1400-000000000000}"/>
    <hyperlink ref="A23" r:id="rId2" display="**** YT's official website is now informing the number of hospitalizations, which is 2 as of March 7th." xr:uid="{00000000-0004-0000-1400-000001000000}"/>
    <hyperlink ref="A24" r:id="rId3" xr:uid="{00000000-0004-0000-1400-000002000000}"/>
    <hyperlink ref="A21" r:id="rId4" xr:uid="{00000000-0004-0000-1400-000003000000}"/>
    <hyperlink ref="A25" r:id="rId5" xr:uid="{00000000-0004-0000-1400-000004000000}"/>
    <hyperlink ref="A26" r:id="rId6" display="*******SK's official website is no longer doing daily reporting, so the information was extracted from a news article dated from March 9th, where the number of ICU patients was not disclosed. Therefore, last day's ICU number was kept on the table." xr:uid="{00000000-0004-0000-1400-000005000000}"/>
  </hyperlinks>
  <pageMargins left="0.7" right="0.7" top="0.75" bottom="0.75" header="0.3" footer="0.3"/>
  <pageSetup orientation="portrait" r:id="rId7"/>
  <drawing r:id="rId8"/>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P26"/>
  <sheetViews>
    <sheetView zoomScaleNormal="100" workbookViewId="0">
      <selection activeCell="A26" sqref="A26"/>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388</v>
      </c>
      <c r="B1" s="44"/>
      <c r="C1" s="44"/>
      <c r="D1" s="44"/>
      <c r="E1" s="2"/>
    </row>
    <row r="2" spans="1:5" x14ac:dyDescent="0.3">
      <c r="B2" s="9" t="s">
        <v>1</v>
      </c>
      <c r="C2" s="10" t="s">
        <v>0</v>
      </c>
    </row>
    <row r="3" spans="1:5" ht="15" thickBot="1" x14ac:dyDescent="0.35">
      <c r="B3" s="20">
        <f>SUM(B4,B5,B6,B7,B8,B9,B10,B11,B12,B13,B16,B15,B14)</f>
        <v>4377</v>
      </c>
      <c r="C3" s="12">
        <f>SUM(C4,C5,C6,C7,C8,C9,,C10,C11,C12,C13,C16,C15,C14)</f>
        <v>552</v>
      </c>
    </row>
    <row r="4" spans="1:5" s="5" customFormat="1" x14ac:dyDescent="0.3">
      <c r="A4" s="4" t="s">
        <v>2</v>
      </c>
      <c r="B4" s="5">
        <v>484</v>
      </c>
      <c r="C4" s="5">
        <v>69</v>
      </c>
    </row>
    <row r="5" spans="1:5" x14ac:dyDescent="0.3">
      <c r="A5" s="4" t="s">
        <v>3</v>
      </c>
      <c r="B5" s="30">
        <v>1164</v>
      </c>
      <c r="C5" s="30">
        <v>77</v>
      </c>
      <c r="D5" s="5"/>
    </row>
    <row r="6" spans="1:5" x14ac:dyDescent="0.3">
      <c r="A6" s="4" t="s">
        <v>4</v>
      </c>
      <c r="B6" s="19">
        <v>693</v>
      </c>
      <c r="C6" s="6">
        <v>249</v>
      </c>
      <c r="D6" s="5"/>
    </row>
    <row r="7" spans="1:5" x14ac:dyDescent="0.3">
      <c r="A7" s="4" t="s">
        <v>5</v>
      </c>
      <c r="B7" s="32">
        <v>1254</v>
      </c>
      <c r="C7" s="5">
        <v>79</v>
      </c>
      <c r="D7" s="5"/>
    </row>
    <row r="8" spans="1:5" s="15" customFormat="1" x14ac:dyDescent="0.3">
      <c r="A8" s="14" t="s">
        <v>6</v>
      </c>
      <c r="B8" s="6">
        <v>45</v>
      </c>
      <c r="C8" s="6">
        <v>13</v>
      </c>
      <c r="D8" s="5"/>
    </row>
    <row r="9" spans="1:5" x14ac:dyDescent="0.3">
      <c r="A9" s="4" t="s">
        <v>7</v>
      </c>
      <c r="B9" s="5">
        <v>100</v>
      </c>
      <c r="C9" s="5">
        <v>9</v>
      </c>
      <c r="D9" s="5"/>
    </row>
    <row r="10" spans="1:5" x14ac:dyDescent="0.3">
      <c r="A10" s="4" t="s">
        <v>8</v>
      </c>
      <c r="B10" s="5">
        <v>192</v>
      </c>
      <c r="C10" s="5">
        <v>15</v>
      </c>
      <c r="D10" s="5"/>
    </row>
    <row r="11" spans="1:5" x14ac:dyDescent="0.3">
      <c r="A11" s="4" t="s">
        <v>9</v>
      </c>
      <c r="B11" s="5">
        <v>9</v>
      </c>
      <c r="C11" s="5">
        <v>0</v>
      </c>
      <c r="D11" s="5"/>
    </row>
    <row r="12" spans="1:5" x14ac:dyDescent="0.3">
      <c r="A12" s="4" t="s">
        <v>10</v>
      </c>
      <c r="B12" s="5">
        <v>353</v>
      </c>
      <c r="C12" s="5">
        <v>30</v>
      </c>
      <c r="D12" s="5"/>
    </row>
    <row r="13" spans="1:5" x14ac:dyDescent="0.3">
      <c r="A13" s="4" t="s">
        <v>11</v>
      </c>
      <c r="B13" s="5">
        <v>25</v>
      </c>
      <c r="C13" s="5">
        <v>5</v>
      </c>
      <c r="D13" s="5"/>
    </row>
    <row r="14" spans="1:5" x14ac:dyDescent="0.3">
      <c r="A14" s="4" t="s">
        <v>12</v>
      </c>
      <c r="B14" s="8">
        <v>29</v>
      </c>
      <c r="C14" s="7">
        <v>6</v>
      </c>
      <c r="D14" s="5"/>
    </row>
    <row r="15" spans="1:5" x14ac:dyDescent="0.3">
      <c r="A15" s="4" t="s">
        <v>13</v>
      </c>
      <c r="B15" s="5">
        <v>2</v>
      </c>
      <c r="C15" s="5">
        <v>0</v>
      </c>
      <c r="D15" s="5" t="s">
        <v>231</v>
      </c>
    </row>
    <row r="16" spans="1:5" x14ac:dyDescent="0.3">
      <c r="A16" s="4" t="s">
        <v>14</v>
      </c>
      <c r="B16" s="5">
        <v>27</v>
      </c>
      <c r="C16" s="5">
        <v>0</v>
      </c>
      <c r="D16" s="5"/>
    </row>
    <row r="17" spans="1:2" x14ac:dyDescent="0.3">
      <c r="B17" s="3"/>
    </row>
    <row r="20" spans="1:2" x14ac:dyDescent="0.3">
      <c r="A20" s="1" t="s">
        <v>122</v>
      </c>
    </row>
    <row r="21" spans="1:2" x14ac:dyDescent="0.3">
      <c r="A21" s="33" t="s">
        <v>391</v>
      </c>
    </row>
    <row r="22" spans="1:2" x14ac:dyDescent="0.3">
      <c r="A22" s="33" t="s">
        <v>381</v>
      </c>
    </row>
    <row r="23" spans="1:2" x14ac:dyDescent="0.3">
      <c r="A23" s="34" t="s">
        <v>392</v>
      </c>
    </row>
    <row r="24" spans="1:2" x14ac:dyDescent="0.3">
      <c r="A24" s="35" t="s">
        <v>387</v>
      </c>
    </row>
    <row r="25" spans="1:2" x14ac:dyDescent="0.3">
      <c r="A25" s="33" t="s">
        <v>389</v>
      </c>
    </row>
    <row r="26" spans="1:2" x14ac:dyDescent="0.3">
      <c r="A26" s="33" t="s">
        <v>390</v>
      </c>
    </row>
  </sheetData>
  <mergeCells count="1">
    <mergeCell ref="A1:D1"/>
  </mergeCells>
  <hyperlinks>
    <hyperlink ref="A22" r:id="rId1" xr:uid="{00000000-0004-0000-1500-000000000000}"/>
    <hyperlink ref="A23" r:id="rId2" xr:uid="{00000000-0004-0000-1500-000001000000}"/>
    <hyperlink ref="A24" r:id="rId3" xr:uid="{00000000-0004-0000-1500-000002000000}"/>
    <hyperlink ref="A21" r:id="rId4" xr:uid="{00000000-0004-0000-1500-000003000000}"/>
    <hyperlink ref="A25" r:id="rId5" xr:uid="{00000000-0004-0000-1500-000004000000}"/>
    <hyperlink ref="A26" r:id="rId6" xr:uid="{00000000-0004-0000-1500-000005000000}"/>
  </hyperlinks>
  <pageMargins left="0.7" right="0.7" top="0.75" bottom="0.75" header="0.3" footer="0.3"/>
  <pageSetup orientation="portrait" r:id="rId7"/>
  <drawing r:id="rId8"/>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P26"/>
  <sheetViews>
    <sheetView topLeftCell="A2" zoomScaleNormal="100" workbookViewId="0">
      <selection activeCell="C10" sqref="C10"/>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382</v>
      </c>
      <c r="B1" s="44"/>
      <c r="C1" s="44"/>
      <c r="D1" s="44"/>
      <c r="E1" s="2"/>
    </row>
    <row r="2" spans="1:5" x14ac:dyDescent="0.3">
      <c r="B2" s="9" t="s">
        <v>1</v>
      </c>
      <c r="C2" s="10" t="s">
        <v>0</v>
      </c>
    </row>
    <row r="3" spans="1:5" ht="15" thickBot="1" x14ac:dyDescent="0.35">
      <c r="B3" s="20">
        <f>SUM(B4,B5,B6,B7,B8,B9,B10,B11,B12,B13,B16,B15,B14)</f>
        <v>4628</v>
      </c>
      <c r="C3" s="12">
        <f>SUM(C4,C5,C6,C7,C8,C9,,C10,C11,C12,C13,C16,C15,C14)</f>
        <v>584</v>
      </c>
    </row>
    <row r="4" spans="1:5" s="5" customFormat="1" x14ac:dyDescent="0.3">
      <c r="A4" s="4" t="s">
        <v>2</v>
      </c>
      <c r="B4" s="5">
        <v>511</v>
      </c>
      <c r="C4" s="5">
        <v>79</v>
      </c>
    </row>
    <row r="5" spans="1:5" x14ac:dyDescent="0.3">
      <c r="A5" s="4" t="s">
        <v>3</v>
      </c>
      <c r="B5" s="30">
        <v>1204</v>
      </c>
      <c r="C5" s="30">
        <v>80</v>
      </c>
      <c r="D5" s="5"/>
    </row>
    <row r="6" spans="1:5" x14ac:dyDescent="0.3">
      <c r="A6" s="4" t="s">
        <v>4</v>
      </c>
      <c r="B6" s="19">
        <v>821</v>
      </c>
      <c r="C6" s="6">
        <v>262</v>
      </c>
      <c r="D6" s="5"/>
    </row>
    <row r="7" spans="1:5" x14ac:dyDescent="0.3">
      <c r="A7" s="4" t="s">
        <v>5</v>
      </c>
      <c r="B7" s="32">
        <v>1313</v>
      </c>
      <c r="C7" s="5">
        <v>80</v>
      </c>
      <c r="D7" s="5"/>
    </row>
    <row r="8" spans="1:5" s="15" customFormat="1" x14ac:dyDescent="0.3">
      <c r="A8" s="14" t="s">
        <v>6</v>
      </c>
      <c r="B8" s="6">
        <v>46</v>
      </c>
      <c r="C8" s="6">
        <v>12</v>
      </c>
      <c r="D8" s="5"/>
    </row>
    <row r="9" spans="1:5" x14ac:dyDescent="0.3">
      <c r="A9" s="4" t="s">
        <v>7</v>
      </c>
      <c r="B9" s="5">
        <v>92</v>
      </c>
      <c r="C9" s="5">
        <v>8</v>
      </c>
      <c r="D9" s="5"/>
    </row>
    <row r="10" spans="1:5" x14ac:dyDescent="0.3">
      <c r="A10" s="4" t="s">
        <v>8</v>
      </c>
      <c r="B10" s="5">
        <v>160</v>
      </c>
      <c r="C10" s="5">
        <v>12</v>
      </c>
      <c r="D10" s="5"/>
    </row>
    <row r="11" spans="1:5" x14ac:dyDescent="0.3">
      <c r="A11" s="4" t="s">
        <v>9</v>
      </c>
      <c r="B11" s="5">
        <v>56</v>
      </c>
      <c r="C11" s="5">
        <v>9</v>
      </c>
      <c r="D11" s="5"/>
    </row>
    <row r="12" spans="1:5" x14ac:dyDescent="0.3">
      <c r="A12" s="4" t="s">
        <v>10</v>
      </c>
      <c r="B12" s="5">
        <v>353</v>
      </c>
      <c r="C12" s="5">
        <v>30</v>
      </c>
      <c r="D12" s="5"/>
    </row>
    <row r="13" spans="1:5" x14ac:dyDescent="0.3">
      <c r="A13" s="4" t="s">
        <v>11</v>
      </c>
      <c r="B13" s="5">
        <v>16</v>
      </c>
      <c r="C13" s="5">
        <v>6</v>
      </c>
      <c r="D13" s="5"/>
    </row>
    <row r="14" spans="1:5" x14ac:dyDescent="0.3">
      <c r="A14" s="4" t="s">
        <v>12</v>
      </c>
      <c r="B14" s="8">
        <v>29</v>
      </c>
      <c r="C14" s="7">
        <v>6</v>
      </c>
      <c r="D14" s="5"/>
    </row>
    <row r="15" spans="1:5" x14ac:dyDescent="0.3">
      <c r="A15" s="4" t="s">
        <v>13</v>
      </c>
      <c r="B15" s="5">
        <v>0</v>
      </c>
      <c r="C15" s="5">
        <v>0</v>
      </c>
      <c r="D15" s="5" t="s">
        <v>231</v>
      </c>
    </row>
    <row r="16" spans="1:5" x14ac:dyDescent="0.3">
      <c r="A16" s="4" t="s">
        <v>14</v>
      </c>
      <c r="B16" s="5">
        <v>27</v>
      </c>
      <c r="C16" s="5">
        <v>0</v>
      </c>
      <c r="D16" s="5"/>
    </row>
    <row r="17" spans="1:2" x14ac:dyDescent="0.3">
      <c r="B17" s="3"/>
    </row>
    <row r="20" spans="1:2" x14ac:dyDescent="0.3">
      <c r="A20" s="1" t="s">
        <v>122</v>
      </c>
    </row>
    <row r="21" spans="1:2" x14ac:dyDescent="0.3">
      <c r="A21" s="33" t="s">
        <v>385</v>
      </c>
    </row>
    <row r="22" spans="1:2" x14ac:dyDescent="0.3">
      <c r="A22" s="33" t="s">
        <v>381</v>
      </c>
    </row>
    <row r="23" spans="1:2" x14ac:dyDescent="0.3">
      <c r="A23" s="34" t="s">
        <v>386</v>
      </c>
    </row>
    <row r="24" spans="1:2" x14ac:dyDescent="0.3">
      <c r="A24" s="35" t="s">
        <v>387</v>
      </c>
    </row>
    <row r="25" spans="1:2" x14ac:dyDescent="0.3">
      <c r="A25" s="33" t="s">
        <v>383</v>
      </c>
    </row>
    <row r="26" spans="1:2" x14ac:dyDescent="0.3">
      <c r="A26" s="33" t="s">
        <v>384</v>
      </c>
    </row>
  </sheetData>
  <mergeCells count="1">
    <mergeCell ref="A1:D1"/>
  </mergeCells>
  <hyperlinks>
    <hyperlink ref="A22" r:id="rId1" xr:uid="{00000000-0004-0000-1600-000000000000}"/>
    <hyperlink ref="A23" r:id="rId2" display="**** YT's official website is now informing the number of hospitalizations, and it is 0 as of February 18th." xr:uid="{00000000-0004-0000-1600-000001000000}"/>
    <hyperlink ref="A24" r:id="rId3" xr:uid="{00000000-0004-0000-1600-000002000000}"/>
    <hyperlink ref="A21" r:id="rId4" xr:uid="{00000000-0004-0000-1600-000003000000}"/>
    <hyperlink ref="A25" r:id="rId5" xr:uid="{00000000-0004-0000-1600-000004000000}"/>
    <hyperlink ref="A26" r:id="rId6" xr:uid="{00000000-0004-0000-1600-000005000000}"/>
  </hyperlinks>
  <pageMargins left="0.7" right="0.7" top="0.75" bottom="0.75" header="0.3" footer="0.3"/>
  <pageSetup orientation="portrait" r:id="rId7"/>
  <drawing r:id="rId8"/>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P26"/>
  <sheetViews>
    <sheetView zoomScaleNormal="100" workbookViewId="0">
      <selection activeCell="A26" sqref="A26"/>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376</v>
      </c>
      <c r="B1" s="44"/>
      <c r="C1" s="44"/>
      <c r="D1" s="44"/>
      <c r="E1" s="2"/>
    </row>
    <row r="2" spans="1:5" x14ac:dyDescent="0.3">
      <c r="B2" s="9" t="s">
        <v>1</v>
      </c>
      <c r="C2" s="10" t="s">
        <v>0</v>
      </c>
    </row>
    <row r="3" spans="1:5" ht="15" thickBot="1" x14ac:dyDescent="0.35">
      <c r="B3" s="20">
        <f>SUM(B4,B5,B6,B7,B8,B9,B10,B11,B12,B13,B16,B15,B14)</f>
        <v>4822</v>
      </c>
      <c r="C3" s="12">
        <f>SUM(C4,C5,C6,C7,C8,C9,,C10,C11,C12,C13,C16,C15,C14)</f>
        <v>600</v>
      </c>
    </row>
    <row r="4" spans="1:5" s="5" customFormat="1" x14ac:dyDescent="0.3">
      <c r="A4" s="4" t="s">
        <v>2</v>
      </c>
      <c r="B4" s="5">
        <v>523</v>
      </c>
      <c r="C4" s="5">
        <v>83</v>
      </c>
    </row>
    <row r="5" spans="1:5" x14ac:dyDescent="0.3">
      <c r="A5" s="4" t="s">
        <v>3</v>
      </c>
      <c r="B5" s="30">
        <v>1224</v>
      </c>
      <c r="C5" s="30">
        <v>83</v>
      </c>
      <c r="D5" s="5"/>
    </row>
    <row r="6" spans="1:5" x14ac:dyDescent="0.3">
      <c r="A6" s="4" t="s">
        <v>4</v>
      </c>
      <c r="B6" s="19">
        <v>847</v>
      </c>
      <c r="C6" s="6">
        <v>273</v>
      </c>
      <c r="D6" s="5"/>
    </row>
    <row r="7" spans="1:5" x14ac:dyDescent="0.3">
      <c r="A7" s="4" t="s">
        <v>5</v>
      </c>
      <c r="B7" s="32">
        <v>1381</v>
      </c>
      <c r="C7" s="5">
        <v>82</v>
      </c>
      <c r="D7" s="5"/>
    </row>
    <row r="8" spans="1:5" s="15" customFormat="1" x14ac:dyDescent="0.3">
      <c r="A8" s="14" t="s">
        <v>6</v>
      </c>
      <c r="B8" s="6">
        <v>48</v>
      </c>
      <c r="C8" s="6">
        <v>11</v>
      </c>
      <c r="D8" s="5"/>
    </row>
    <row r="9" spans="1:5" x14ac:dyDescent="0.3">
      <c r="A9" s="4" t="s">
        <v>7</v>
      </c>
      <c r="B9" s="5">
        <v>89</v>
      </c>
      <c r="C9" s="5">
        <v>8</v>
      </c>
      <c r="D9" s="5"/>
    </row>
    <row r="10" spans="1:5" x14ac:dyDescent="0.3">
      <c r="A10" s="4" t="s">
        <v>8</v>
      </c>
      <c r="B10" s="5">
        <v>223</v>
      </c>
      <c r="C10" s="5">
        <v>15</v>
      </c>
      <c r="D10" s="5"/>
    </row>
    <row r="11" spans="1:5" x14ac:dyDescent="0.3">
      <c r="A11" s="4" t="s">
        <v>9</v>
      </c>
      <c r="B11" s="5">
        <v>56</v>
      </c>
      <c r="C11" s="5">
        <v>9</v>
      </c>
      <c r="D11" s="5"/>
    </row>
    <row r="12" spans="1:5" x14ac:dyDescent="0.3">
      <c r="A12" s="4" t="s">
        <v>10</v>
      </c>
      <c r="B12" s="5">
        <v>365</v>
      </c>
      <c r="C12" s="5">
        <v>30</v>
      </c>
      <c r="D12" s="5"/>
    </row>
    <row r="13" spans="1:5" x14ac:dyDescent="0.3">
      <c r="A13" s="4" t="s">
        <v>11</v>
      </c>
      <c r="B13" s="5">
        <v>15</v>
      </c>
      <c r="C13" s="5">
        <v>0</v>
      </c>
      <c r="D13" s="5"/>
    </row>
    <row r="14" spans="1:5" x14ac:dyDescent="0.3">
      <c r="A14" s="4" t="s">
        <v>12</v>
      </c>
      <c r="B14" s="8">
        <v>29</v>
      </c>
      <c r="C14" s="7">
        <v>6</v>
      </c>
      <c r="D14" s="5"/>
    </row>
    <row r="15" spans="1:5" x14ac:dyDescent="0.3">
      <c r="A15" s="4" t="s">
        <v>13</v>
      </c>
      <c r="B15" s="5">
        <v>0</v>
      </c>
      <c r="C15" s="5">
        <v>0</v>
      </c>
      <c r="D15" s="5" t="s">
        <v>231</v>
      </c>
    </row>
    <row r="16" spans="1:5" x14ac:dyDescent="0.3">
      <c r="A16" s="4" t="s">
        <v>14</v>
      </c>
      <c r="B16" s="5">
        <v>22</v>
      </c>
      <c r="C16" s="5">
        <v>0</v>
      </c>
      <c r="D16" s="5"/>
    </row>
    <row r="17" spans="1:2" x14ac:dyDescent="0.3">
      <c r="B17" s="3"/>
    </row>
    <row r="20" spans="1:2" x14ac:dyDescent="0.3">
      <c r="A20" s="1" t="s">
        <v>122</v>
      </c>
    </row>
    <row r="21" spans="1:2" x14ac:dyDescent="0.3">
      <c r="A21" s="33" t="s">
        <v>379</v>
      </c>
    </row>
    <row r="22" spans="1:2" x14ac:dyDescent="0.3">
      <c r="A22" s="33" t="s">
        <v>381</v>
      </c>
    </row>
    <row r="23" spans="1:2" x14ac:dyDescent="0.3">
      <c r="A23" s="34" t="s">
        <v>380</v>
      </c>
    </row>
    <row r="24" spans="1:2" x14ac:dyDescent="0.3">
      <c r="A24" s="35" t="s">
        <v>362</v>
      </c>
    </row>
    <row r="25" spans="1:2" x14ac:dyDescent="0.3">
      <c r="A25" s="33" t="s">
        <v>377</v>
      </c>
    </row>
    <row r="26" spans="1:2" x14ac:dyDescent="0.3">
      <c r="A26" s="33" t="s">
        <v>378</v>
      </c>
    </row>
  </sheetData>
  <mergeCells count="1">
    <mergeCell ref="A1:D1"/>
  </mergeCells>
  <hyperlinks>
    <hyperlink ref="A22" r:id="rId1" xr:uid="{00000000-0004-0000-1700-000000000000}"/>
    <hyperlink ref="A23" r:id="rId2" display="**** YT's official website is now informing the number of hospitalizations, and it is 0 as of February 18th." xr:uid="{00000000-0004-0000-1700-000001000000}"/>
    <hyperlink ref="A24" r:id="rId3" display="***** NU's official website does not disclose the number of current hospitalizations, but according to the press as of February 16th, 22 people had been hospitalized during the Omicron wave. That number does not represent the total number of people curren" xr:uid="{00000000-0004-0000-1700-000002000000}"/>
    <hyperlink ref="A21" r:id="rId4" xr:uid="{00000000-0004-0000-1700-000003000000}"/>
    <hyperlink ref="A25" r:id="rId5" xr:uid="{00000000-0004-0000-1700-000004000000}"/>
    <hyperlink ref="A26" r:id="rId6" xr:uid="{00000000-0004-0000-1700-000005000000}"/>
  </hyperlinks>
  <pageMargins left="0.7" right="0.7" top="0.75" bottom="0.75" header="0.3" footer="0.3"/>
  <pageSetup orientation="portrait" r:id="rId7"/>
  <drawing r:id="rId8"/>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P26"/>
  <sheetViews>
    <sheetView zoomScaleNormal="100" workbookViewId="0">
      <selection activeCell="A26" sqref="A26"/>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371</v>
      </c>
      <c r="B1" s="44"/>
      <c r="C1" s="44"/>
      <c r="D1" s="44"/>
      <c r="E1" s="2"/>
    </row>
    <row r="2" spans="1:5" x14ac:dyDescent="0.3">
      <c r="B2" s="9" t="s">
        <v>1</v>
      </c>
      <c r="C2" s="10" t="s">
        <v>0</v>
      </c>
    </row>
    <row r="3" spans="1:5" ht="15" thickBot="1" x14ac:dyDescent="0.35">
      <c r="B3" s="20">
        <f>SUM(B4,B5,B6,B7,B8,B9,B10,B11,B12,B13,B16,B15,B14)</f>
        <v>5342</v>
      </c>
      <c r="C3" s="12">
        <f>SUM(C4,C5,C6,C7,C8,C9,,C10,C11,C12,C13,C16,C15,C14)</f>
        <v>666</v>
      </c>
    </row>
    <row r="4" spans="1:5" s="5" customFormat="1" x14ac:dyDescent="0.3">
      <c r="A4" s="4" t="s">
        <v>2</v>
      </c>
      <c r="B4" s="5">
        <v>612</v>
      </c>
      <c r="C4" s="5">
        <v>102</v>
      </c>
    </row>
    <row r="5" spans="1:5" x14ac:dyDescent="0.3">
      <c r="A5" s="4" t="s">
        <v>3</v>
      </c>
      <c r="B5" s="30">
        <v>1357</v>
      </c>
      <c r="C5" s="30">
        <v>92</v>
      </c>
      <c r="D5" s="5"/>
    </row>
    <row r="6" spans="1:5" x14ac:dyDescent="0.3">
      <c r="A6" s="4" t="s">
        <v>4</v>
      </c>
      <c r="B6" s="19">
        <v>1003</v>
      </c>
      <c r="C6" s="6">
        <v>297</v>
      </c>
      <c r="D6" s="5"/>
    </row>
    <row r="7" spans="1:5" x14ac:dyDescent="0.3">
      <c r="A7" s="4" t="s">
        <v>5</v>
      </c>
      <c r="B7" s="32">
        <v>1532</v>
      </c>
      <c r="C7" s="5">
        <v>105</v>
      </c>
      <c r="D7" s="5"/>
    </row>
    <row r="8" spans="1:5" s="15" customFormat="1" x14ac:dyDescent="0.3">
      <c r="A8" s="14" t="s">
        <v>6</v>
      </c>
      <c r="B8" s="6">
        <v>46</v>
      </c>
      <c r="C8" s="6">
        <v>12</v>
      </c>
      <c r="D8" s="5"/>
    </row>
    <row r="9" spans="1:5" x14ac:dyDescent="0.3">
      <c r="A9" s="4" t="s">
        <v>7</v>
      </c>
      <c r="B9" s="5">
        <v>77</v>
      </c>
      <c r="C9" s="5">
        <v>5</v>
      </c>
      <c r="D9" s="5"/>
    </row>
    <row r="10" spans="1:5" x14ac:dyDescent="0.3">
      <c r="A10" s="4" t="s">
        <v>8</v>
      </c>
      <c r="B10" s="5">
        <v>222</v>
      </c>
      <c r="C10" s="5">
        <v>12</v>
      </c>
      <c r="D10" s="5"/>
    </row>
    <row r="11" spans="1:5" x14ac:dyDescent="0.3">
      <c r="A11" s="4" t="s">
        <v>9</v>
      </c>
      <c r="B11" s="5">
        <v>54</v>
      </c>
      <c r="C11" s="5">
        <v>9</v>
      </c>
      <c r="D11" s="5"/>
    </row>
    <row r="12" spans="1:5" x14ac:dyDescent="0.3">
      <c r="A12" s="4" t="s">
        <v>10</v>
      </c>
      <c r="B12" s="5">
        <v>372</v>
      </c>
      <c r="C12" s="5">
        <v>27</v>
      </c>
      <c r="D12" s="5"/>
    </row>
    <row r="13" spans="1:5" x14ac:dyDescent="0.3">
      <c r="A13" s="4" t="s">
        <v>11</v>
      </c>
      <c r="B13" s="5">
        <v>17</v>
      </c>
      <c r="C13" s="5">
        <v>0</v>
      </c>
      <c r="D13" s="5"/>
    </row>
    <row r="14" spans="1:5" x14ac:dyDescent="0.3">
      <c r="A14" s="4" t="s">
        <v>12</v>
      </c>
      <c r="B14" s="8">
        <v>28</v>
      </c>
      <c r="C14" s="7">
        <v>5</v>
      </c>
      <c r="D14" s="5"/>
    </row>
    <row r="15" spans="1:5" x14ac:dyDescent="0.3">
      <c r="A15" s="4" t="s">
        <v>13</v>
      </c>
      <c r="B15" s="5">
        <v>0</v>
      </c>
      <c r="C15" s="5">
        <v>0</v>
      </c>
      <c r="D15" s="5" t="s">
        <v>231</v>
      </c>
    </row>
    <row r="16" spans="1:5" x14ac:dyDescent="0.3">
      <c r="A16" s="4" t="s">
        <v>14</v>
      </c>
      <c r="B16" s="5">
        <v>22</v>
      </c>
      <c r="C16" s="5">
        <v>0</v>
      </c>
      <c r="D16" s="5"/>
    </row>
    <row r="17" spans="1:2" x14ac:dyDescent="0.3">
      <c r="B17" s="3"/>
    </row>
    <row r="20" spans="1:2" x14ac:dyDescent="0.3">
      <c r="A20" s="1" t="s">
        <v>122</v>
      </c>
    </row>
    <row r="21" spans="1:2" x14ac:dyDescent="0.3">
      <c r="A21" s="33" t="s">
        <v>374</v>
      </c>
    </row>
    <row r="22" spans="1:2" x14ac:dyDescent="0.3">
      <c r="A22" s="33" t="s">
        <v>369</v>
      </c>
    </row>
    <row r="23" spans="1:2" x14ac:dyDescent="0.3">
      <c r="A23" s="34" t="s">
        <v>375</v>
      </c>
    </row>
    <row r="24" spans="1:2" x14ac:dyDescent="0.3">
      <c r="A24" s="35" t="s">
        <v>362</v>
      </c>
    </row>
    <row r="25" spans="1:2" x14ac:dyDescent="0.3">
      <c r="A25" s="33" t="s">
        <v>372</v>
      </c>
    </row>
    <row r="26" spans="1:2" x14ac:dyDescent="0.3">
      <c r="A26" s="33" t="s">
        <v>373</v>
      </c>
    </row>
  </sheetData>
  <mergeCells count="1">
    <mergeCell ref="A1:D1"/>
  </mergeCells>
  <hyperlinks>
    <hyperlink ref="A22" r:id="rId1" xr:uid="{00000000-0004-0000-1800-000000000000}"/>
    <hyperlink ref="A23" r:id="rId2" display="**** YT's official website is now informing the number of hospitalizations, and it is 0 as of February 18th." xr:uid="{00000000-0004-0000-1800-000001000000}"/>
    <hyperlink ref="A24" r:id="rId3" display="***** NU's official website does not disclose the number of current hospitalizations, but according to the press as of February 16th, 22 people had been hospitalized during the Omicron wave. That number does not represent the total number of people curren" xr:uid="{00000000-0004-0000-1800-000002000000}"/>
    <hyperlink ref="A21" r:id="rId4" xr:uid="{00000000-0004-0000-1800-000003000000}"/>
    <hyperlink ref="A25" r:id="rId5" xr:uid="{00000000-0004-0000-1800-000004000000}"/>
    <hyperlink ref="A26" r:id="rId6" xr:uid="{00000000-0004-0000-1800-000005000000}"/>
  </hyperlinks>
  <pageMargins left="0.7" right="0.7" top="0.75" bottom="0.75" header="0.3" footer="0.3"/>
  <pageSetup orientation="portrait" r:id="rId7"/>
  <drawing r:id="rId8"/>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P26"/>
  <sheetViews>
    <sheetView zoomScaleNormal="100" workbookViewId="0">
      <selection activeCell="A26" sqref="A26"/>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365</v>
      </c>
      <c r="B1" s="44"/>
      <c r="C1" s="44"/>
      <c r="D1" s="44"/>
      <c r="E1" s="2"/>
    </row>
    <row r="2" spans="1:5" x14ac:dyDescent="0.3">
      <c r="B2" s="9" t="s">
        <v>1</v>
      </c>
      <c r="C2" s="10" t="s">
        <v>0</v>
      </c>
    </row>
    <row r="3" spans="1:5" ht="15" thickBot="1" x14ac:dyDescent="0.35">
      <c r="B3" s="20">
        <f>SUM(B4,B5,B6,B7,B8,B9,B10,B11,B12,B13,B16,B15,B14)</f>
        <v>5930</v>
      </c>
      <c r="C3" s="12">
        <f>SUM(C4,C5,C6,C7,C8,C9,,C10,C11,C12,C13,C16,C15,C14)</f>
        <v>736</v>
      </c>
    </row>
    <row r="4" spans="1:5" s="5" customFormat="1" x14ac:dyDescent="0.3">
      <c r="A4" s="4" t="s">
        <v>2</v>
      </c>
      <c r="B4" s="5">
        <v>688</v>
      </c>
      <c r="C4" s="5">
        <v>108</v>
      </c>
    </row>
    <row r="5" spans="1:5" x14ac:dyDescent="0.3">
      <c r="A5" s="4" t="s">
        <v>3</v>
      </c>
      <c r="B5" s="30">
        <v>1494</v>
      </c>
      <c r="C5" s="30">
        <v>116</v>
      </c>
      <c r="D5" s="5"/>
    </row>
    <row r="6" spans="1:5" x14ac:dyDescent="0.3">
      <c r="A6" s="4" t="s">
        <v>4</v>
      </c>
      <c r="B6" s="19">
        <v>1038</v>
      </c>
      <c r="C6" s="6">
        <v>319</v>
      </c>
      <c r="D6" s="5"/>
    </row>
    <row r="7" spans="1:5" x14ac:dyDescent="0.3">
      <c r="A7" s="4" t="s">
        <v>5</v>
      </c>
      <c r="B7" s="32">
        <v>1742</v>
      </c>
      <c r="C7" s="5">
        <v>107</v>
      </c>
      <c r="D7" s="5"/>
    </row>
    <row r="8" spans="1:5" s="15" customFormat="1" x14ac:dyDescent="0.3">
      <c r="A8" s="14" t="s">
        <v>6</v>
      </c>
      <c r="B8" s="6">
        <v>53</v>
      </c>
      <c r="C8" s="6">
        <v>12</v>
      </c>
      <c r="D8" s="5"/>
    </row>
    <row r="9" spans="1:5" x14ac:dyDescent="0.3">
      <c r="A9" s="4" t="s">
        <v>7</v>
      </c>
      <c r="B9" s="5">
        <v>78</v>
      </c>
      <c r="C9" s="5">
        <v>8</v>
      </c>
      <c r="D9" s="5"/>
    </row>
    <row r="10" spans="1:5" x14ac:dyDescent="0.3">
      <c r="A10" s="4" t="s">
        <v>8</v>
      </c>
      <c r="B10" s="5">
        <v>310</v>
      </c>
      <c r="C10" s="5">
        <v>15</v>
      </c>
      <c r="D10" s="5"/>
    </row>
    <row r="11" spans="1:5" x14ac:dyDescent="0.3">
      <c r="A11" s="4" t="s">
        <v>9</v>
      </c>
      <c r="B11" s="5">
        <v>51</v>
      </c>
      <c r="C11" s="5">
        <v>8</v>
      </c>
      <c r="D11" s="5"/>
    </row>
    <row r="12" spans="1:5" x14ac:dyDescent="0.3">
      <c r="A12" s="4" t="s">
        <v>10</v>
      </c>
      <c r="B12" s="5">
        <v>410</v>
      </c>
      <c r="C12" s="5">
        <v>33</v>
      </c>
      <c r="D12" s="5"/>
    </row>
    <row r="13" spans="1:5" x14ac:dyDescent="0.3">
      <c r="A13" s="4" t="s">
        <v>11</v>
      </c>
      <c r="B13" s="5">
        <v>16</v>
      </c>
      <c r="C13" s="5">
        <v>5</v>
      </c>
      <c r="D13" s="5"/>
    </row>
    <row r="14" spans="1:5" x14ac:dyDescent="0.3">
      <c r="A14" s="4" t="s">
        <v>12</v>
      </c>
      <c r="B14" s="8">
        <v>28</v>
      </c>
      <c r="C14" s="7">
        <v>5</v>
      </c>
      <c r="D14" s="5"/>
    </row>
    <row r="15" spans="1:5" x14ac:dyDescent="0.3">
      <c r="A15" s="4" t="s">
        <v>13</v>
      </c>
      <c r="B15" s="5">
        <v>0</v>
      </c>
      <c r="C15" s="5">
        <v>0</v>
      </c>
      <c r="D15" s="5" t="s">
        <v>231</v>
      </c>
    </row>
    <row r="16" spans="1:5" x14ac:dyDescent="0.3">
      <c r="A16" s="4" t="s">
        <v>14</v>
      </c>
      <c r="B16" s="5">
        <v>22</v>
      </c>
      <c r="C16" s="5">
        <v>0</v>
      </c>
      <c r="D16" s="5"/>
    </row>
    <row r="17" spans="1:2" x14ac:dyDescent="0.3">
      <c r="B17" s="3"/>
    </row>
    <row r="20" spans="1:2" x14ac:dyDescent="0.3">
      <c r="A20" s="1" t="s">
        <v>122</v>
      </c>
    </row>
    <row r="21" spans="1:2" x14ac:dyDescent="0.3">
      <c r="A21" s="33" t="s">
        <v>367</v>
      </c>
    </row>
    <row r="22" spans="1:2" x14ac:dyDescent="0.3">
      <c r="A22" s="33" t="s">
        <v>369</v>
      </c>
    </row>
    <row r="23" spans="1:2" x14ac:dyDescent="0.3">
      <c r="A23" s="34" t="s">
        <v>370</v>
      </c>
    </row>
    <row r="24" spans="1:2" x14ac:dyDescent="0.3">
      <c r="A24" s="35" t="s">
        <v>362</v>
      </c>
    </row>
    <row r="25" spans="1:2" x14ac:dyDescent="0.3">
      <c r="A25" s="33" t="s">
        <v>366</v>
      </c>
    </row>
    <row r="26" spans="1:2" x14ac:dyDescent="0.3">
      <c r="A26" s="33" t="s">
        <v>368</v>
      </c>
    </row>
  </sheetData>
  <mergeCells count="1">
    <mergeCell ref="A1:D1"/>
  </mergeCells>
  <hyperlinks>
    <hyperlink ref="A22" r:id="rId1" xr:uid="{00000000-0004-0000-1900-000000000000}"/>
    <hyperlink ref="A23" r:id="rId2" display="**** YT's official website is now informing the number of hospitalizations, and it is 0 as of February 18th." xr:uid="{00000000-0004-0000-1900-000001000000}"/>
    <hyperlink ref="A24" r:id="rId3" display="***** NU's official website does not disclose the number of current hospitalizations, but according to the press as of February 16th, 22 people had been hospitalized during the Omicron wave. That number does not represent the total number of people curren" xr:uid="{00000000-0004-0000-1900-000002000000}"/>
    <hyperlink ref="A21" r:id="rId4" xr:uid="{00000000-0004-0000-1900-000003000000}"/>
    <hyperlink ref="A25" r:id="rId5" xr:uid="{00000000-0004-0000-1900-000004000000}"/>
    <hyperlink ref="A26" r:id="rId6" xr:uid="{00000000-0004-0000-1900-000005000000}"/>
  </hyperlinks>
  <pageMargins left="0.7" right="0.7" top="0.75" bottom="0.75" header="0.3" footer="0.3"/>
  <pageSetup orientation="portrait" r:id="rId7"/>
  <drawing r:id="rId8"/>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P26"/>
  <sheetViews>
    <sheetView zoomScaleNormal="100" workbookViewId="0">
      <selection activeCell="A26" sqref="A26"/>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358</v>
      </c>
      <c r="B1" s="44"/>
      <c r="C1" s="44"/>
      <c r="D1" s="44"/>
      <c r="E1" s="2"/>
    </row>
    <row r="2" spans="1:5" x14ac:dyDescent="0.3">
      <c r="B2" s="9" t="s">
        <v>1</v>
      </c>
      <c r="C2" s="10" t="s">
        <v>0</v>
      </c>
    </row>
    <row r="3" spans="1:5" ht="15" thickBot="1" x14ac:dyDescent="0.35">
      <c r="B3" s="20">
        <f>SUM(B4,B5,B6,B7,B8,B9,B10,B11,B12,B13,B16,B15,B14)</f>
        <v>6319</v>
      </c>
      <c r="C3" s="12">
        <f>SUM(C4,C5,C6,C7,C8,C9,,C10,C11,C12,C13,C16,C15,C14)</f>
        <v>790</v>
      </c>
    </row>
    <row r="4" spans="1:5" s="5" customFormat="1" x14ac:dyDescent="0.3">
      <c r="A4" s="4" t="s">
        <v>2</v>
      </c>
      <c r="B4" s="5">
        <v>744</v>
      </c>
      <c r="C4" s="5">
        <v>120</v>
      </c>
    </row>
    <row r="5" spans="1:5" x14ac:dyDescent="0.3">
      <c r="A5" s="4" t="s">
        <v>3</v>
      </c>
      <c r="B5" s="30">
        <v>1491</v>
      </c>
      <c r="C5" s="30">
        <v>116</v>
      </c>
      <c r="D5" s="5"/>
    </row>
    <row r="6" spans="1:5" x14ac:dyDescent="0.3">
      <c r="A6" s="4" t="s">
        <v>4</v>
      </c>
      <c r="B6" s="19">
        <v>1281</v>
      </c>
      <c r="C6" s="6">
        <v>352</v>
      </c>
      <c r="D6" s="5"/>
    </row>
    <row r="7" spans="1:5" x14ac:dyDescent="0.3">
      <c r="A7" s="4" t="s">
        <v>5</v>
      </c>
      <c r="B7" s="32">
        <v>1834</v>
      </c>
      <c r="C7" s="5">
        <v>119</v>
      </c>
      <c r="D7" s="5"/>
    </row>
    <row r="8" spans="1:5" s="15" customFormat="1" x14ac:dyDescent="0.3">
      <c r="A8" s="14" t="s">
        <v>6</v>
      </c>
      <c r="B8" s="6">
        <v>66</v>
      </c>
      <c r="C8" s="6">
        <v>11</v>
      </c>
      <c r="D8" s="5"/>
    </row>
    <row r="9" spans="1:5" x14ac:dyDescent="0.3">
      <c r="A9" s="4" t="s">
        <v>7</v>
      </c>
      <c r="B9" s="5">
        <v>78</v>
      </c>
      <c r="C9" s="5">
        <v>8</v>
      </c>
      <c r="D9" s="5"/>
    </row>
    <row r="10" spans="1:5" x14ac:dyDescent="0.3">
      <c r="A10" s="4" t="s">
        <v>8</v>
      </c>
      <c r="B10" s="5">
        <v>302</v>
      </c>
      <c r="C10" s="5">
        <v>13</v>
      </c>
      <c r="D10" s="5"/>
    </row>
    <row r="11" spans="1:5" x14ac:dyDescent="0.3">
      <c r="A11" s="4" t="s">
        <v>9</v>
      </c>
      <c r="B11" s="5">
        <v>51</v>
      </c>
      <c r="C11" s="5">
        <v>8</v>
      </c>
      <c r="D11" s="5"/>
    </row>
    <row r="12" spans="1:5" x14ac:dyDescent="0.3">
      <c r="A12" s="4" t="s">
        <v>10</v>
      </c>
      <c r="B12" s="5">
        <v>410</v>
      </c>
      <c r="C12" s="5">
        <v>33</v>
      </c>
      <c r="D12" s="5"/>
    </row>
    <row r="13" spans="1:5" x14ac:dyDescent="0.3">
      <c r="A13" s="4" t="s">
        <v>11</v>
      </c>
      <c r="B13" s="5">
        <v>13</v>
      </c>
      <c r="C13" s="5">
        <v>5</v>
      </c>
      <c r="D13" s="5"/>
    </row>
    <row r="14" spans="1:5" x14ac:dyDescent="0.3">
      <c r="A14" s="4" t="s">
        <v>12</v>
      </c>
      <c r="B14" s="8">
        <v>27</v>
      </c>
      <c r="C14" s="7">
        <v>5</v>
      </c>
      <c r="D14" s="5"/>
    </row>
    <row r="15" spans="1:5" x14ac:dyDescent="0.3">
      <c r="A15" s="4" t="s">
        <v>13</v>
      </c>
      <c r="B15" s="5">
        <v>0</v>
      </c>
      <c r="C15" s="5">
        <v>0</v>
      </c>
      <c r="D15" s="5" t="s">
        <v>231</v>
      </c>
    </row>
    <row r="16" spans="1:5" x14ac:dyDescent="0.3">
      <c r="A16" s="4" t="s">
        <v>14</v>
      </c>
      <c r="B16" s="5">
        <v>22</v>
      </c>
      <c r="C16" s="5">
        <v>0</v>
      </c>
      <c r="D16" s="5"/>
    </row>
    <row r="17" spans="1:2" x14ac:dyDescent="0.3">
      <c r="B17" s="3"/>
    </row>
    <row r="20" spans="1:2" x14ac:dyDescent="0.3">
      <c r="A20" s="1" t="s">
        <v>122</v>
      </c>
    </row>
    <row r="21" spans="1:2" x14ac:dyDescent="0.3">
      <c r="A21" s="33" t="s">
        <v>361</v>
      </c>
    </row>
    <row r="22" spans="1:2" x14ac:dyDescent="0.3">
      <c r="A22" s="33" t="s">
        <v>363</v>
      </c>
    </row>
    <row r="23" spans="1:2" x14ac:dyDescent="0.3">
      <c r="A23" s="34" t="s">
        <v>364</v>
      </c>
    </row>
    <row r="24" spans="1:2" x14ac:dyDescent="0.3">
      <c r="A24" s="35" t="s">
        <v>362</v>
      </c>
    </row>
    <row r="25" spans="1:2" x14ac:dyDescent="0.3">
      <c r="A25" s="33" t="s">
        <v>359</v>
      </c>
    </row>
    <row r="26" spans="1:2" x14ac:dyDescent="0.3">
      <c r="A26" s="33" t="s">
        <v>360</v>
      </c>
    </row>
  </sheetData>
  <mergeCells count="1">
    <mergeCell ref="A1:D1"/>
  </mergeCells>
  <hyperlinks>
    <hyperlink ref="A22" r:id="rId1" display="*** NT's official website does not disclose the number of current hospitalizations, but according to the press as of February 14th two new hospitalizations were recorded, which brings the total to 23, up from 21 on the last table. However, this number doe" xr:uid="{00000000-0004-0000-1A00-000000000000}"/>
    <hyperlink ref="A23" r:id="rId2" display="**** YT's official website is now informing the number of hospitalizations, and it is 0 as of February 18th." xr:uid="{00000000-0004-0000-1A00-000001000000}"/>
    <hyperlink ref="A24" r:id="rId3" display="***** NU's official website does not disclose the number of current hospitalizations, but according to the press as of February 16th, 22 people had been hospitalized during the Omicron wave. That number does not represent the total number of people curren" xr:uid="{00000000-0004-0000-1A00-000002000000}"/>
    <hyperlink ref="A21" r:id="rId4" display="** NL's official website does not disclose the number of ICU patients, and according to the press it was 6 as of February 15th." xr:uid="{00000000-0004-0000-1A00-000003000000}"/>
    <hyperlink ref="A25" r:id="rId5" xr:uid="{00000000-0004-0000-1A00-000004000000}"/>
    <hyperlink ref="A26" r:id="rId6" xr:uid="{00000000-0004-0000-1A00-000005000000}"/>
  </hyperlinks>
  <pageMargins left="0.7" right="0.7" top="0.75" bottom="0.75" header="0.3" footer="0.3"/>
  <pageSetup orientation="portrait" r:id="rId7"/>
  <drawing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E0A48-E015-40D5-B722-D111158099CE}">
  <dimension ref="A1:P27"/>
  <sheetViews>
    <sheetView zoomScaleNormal="100" workbookViewId="0">
      <selection activeCell="A27" sqref="A27"/>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523</v>
      </c>
      <c r="B1" s="44"/>
      <c r="C1" s="44"/>
      <c r="D1" s="44"/>
      <c r="E1" s="2"/>
    </row>
    <row r="2" spans="1:5" x14ac:dyDescent="0.3">
      <c r="B2" s="9" t="s">
        <v>1</v>
      </c>
      <c r="C2" s="10" t="s">
        <v>0</v>
      </c>
    </row>
    <row r="3" spans="1:5" ht="15" thickBot="1" x14ac:dyDescent="0.35">
      <c r="B3" s="20">
        <f>SUM(B4,B5,B6,B7,B8,B9,B10,B11,B12,B13,B16,B15,B14)</f>
        <v>5117</v>
      </c>
      <c r="C3" s="12">
        <f>SUM(C4,C5,C6,C7,C8,C9,,C10,C11,C12,C13,C16,C15,C14)</f>
        <v>300</v>
      </c>
    </row>
    <row r="4" spans="1:5" s="5" customFormat="1" x14ac:dyDescent="0.3">
      <c r="A4" s="4" t="s">
        <v>2</v>
      </c>
      <c r="B4" s="18">
        <v>401</v>
      </c>
      <c r="C4" s="5">
        <v>35</v>
      </c>
    </row>
    <row r="5" spans="1:5" x14ac:dyDescent="0.3">
      <c r="A5" s="4" t="s">
        <v>3</v>
      </c>
      <c r="B5" s="30">
        <v>649</v>
      </c>
      <c r="C5" s="30">
        <v>26</v>
      </c>
      <c r="D5" s="5"/>
    </row>
    <row r="6" spans="1:5" x14ac:dyDescent="0.3">
      <c r="A6" s="4" t="s">
        <v>4</v>
      </c>
      <c r="B6" s="19">
        <v>1492</v>
      </c>
      <c r="C6" s="6">
        <v>138</v>
      </c>
      <c r="D6" s="5"/>
    </row>
    <row r="7" spans="1:5" x14ac:dyDescent="0.3">
      <c r="A7" s="4" t="s">
        <v>5</v>
      </c>
      <c r="B7" s="32">
        <v>2176</v>
      </c>
      <c r="C7" s="5">
        <v>68</v>
      </c>
      <c r="D7" s="5"/>
    </row>
    <row r="8" spans="1:5" s="15" customFormat="1" x14ac:dyDescent="0.3">
      <c r="A8" s="14" t="s">
        <v>6</v>
      </c>
      <c r="B8" s="6">
        <v>42</v>
      </c>
      <c r="C8" s="6">
        <v>6</v>
      </c>
      <c r="D8" s="5"/>
    </row>
    <row r="9" spans="1:5" x14ac:dyDescent="0.3">
      <c r="A9" s="4" t="s">
        <v>7</v>
      </c>
      <c r="B9" s="5">
        <v>34</v>
      </c>
      <c r="C9" s="5">
        <v>3</v>
      </c>
      <c r="D9" s="5"/>
    </row>
    <row r="10" spans="1:5" x14ac:dyDescent="0.3">
      <c r="A10" s="4" t="s">
        <v>8</v>
      </c>
      <c r="B10" s="5">
        <v>45</v>
      </c>
      <c r="C10" s="5">
        <v>8</v>
      </c>
      <c r="D10" s="5"/>
    </row>
    <row r="11" spans="1:5" x14ac:dyDescent="0.3">
      <c r="A11" s="4" t="s">
        <v>9</v>
      </c>
      <c r="B11" s="5">
        <v>32</v>
      </c>
      <c r="C11" s="5">
        <v>0</v>
      </c>
      <c r="D11" s="5"/>
    </row>
    <row r="12" spans="1:5" x14ac:dyDescent="0.3">
      <c r="A12" s="4" t="s">
        <v>10</v>
      </c>
      <c r="B12" s="5">
        <v>229</v>
      </c>
      <c r="C12" s="5">
        <v>15</v>
      </c>
      <c r="D12" s="5"/>
    </row>
    <row r="13" spans="1:5" x14ac:dyDescent="0.3">
      <c r="A13" s="4" t="s">
        <v>11</v>
      </c>
      <c r="B13" s="5">
        <v>17</v>
      </c>
      <c r="C13" s="5">
        <v>1</v>
      </c>
      <c r="D13" s="5"/>
    </row>
    <row r="14" spans="1:5" x14ac:dyDescent="0.3">
      <c r="A14" s="4" t="s">
        <v>12</v>
      </c>
      <c r="B14" s="8">
        <v>0</v>
      </c>
      <c r="C14" s="7">
        <v>0</v>
      </c>
      <c r="D14" s="5"/>
    </row>
    <row r="15" spans="1:5" x14ac:dyDescent="0.3">
      <c r="A15" s="4" t="s">
        <v>13</v>
      </c>
      <c r="B15" s="5">
        <v>0</v>
      </c>
      <c r="C15" s="5">
        <v>0</v>
      </c>
      <c r="D15" s="5" t="s">
        <v>231</v>
      </c>
    </row>
    <row r="16" spans="1:5" x14ac:dyDescent="0.3">
      <c r="A16" s="4" t="s">
        <v>14</v>
      </c>
      <c r="B16" s="5">
        <v>0</v>
      </c>
      <c r="C16" s="5">
        <v>0</v>
      </c>
      <c r="D16" s="5"/>
    </row>
    <row r="17" spans="1:9" x14ac:dyDescent="0.3">
      <c r="B17" s="3"/>
    </row>
    <row r="20" spans="1:9" x14ac:dyDescent="0.3">
      <c r="A20" s="1" t="s">
        <v>122</v>
      </c>
    </row>
    <row r="21" spans="1:9" s="3" customFormat="1" x14ac:dyDescent="0.3">
      <c r="A21" s="33" t="s">
        <v>509</v>
      </c>
      <c r="B21" s="8"/>
    </row>
    <row r="22" spans="1:9" s="3" customFormat="1" x14ac:dyDescent="0.3">
      <c r="A22" s="34" t="s">
        <v>521</v>
      </c>
      <c r="B22" s="8"/>
    </row>
    <row r="23" spans="1:9" s="3" customFormat="1" x14ac:dyDescent="0.3">
      <c r="A23" s="35" t="s">
        <v>471</v>
      </c>
      <c r="B23" s="8"/>
    </row>
    <row r="24" spans="1:9" s="3" customFormat="1" x14ac:dyDescent="0.3">
      <c r="A24" s="33" t="s">
        <v>525</v>
      </c>
      <c r="B24" s="8"/>
    </row>
    <row r="25" spans="1:9" s="3" customFormat="1" x14ac:dyDescent="0.3">
      <c r="A25" s="36" t="s">
        <v>526</v>
      </c>
      <c r="B25" s="8"/>
    </row>
    <row r="26" spans="1:9" s="3" customFormat="1" x14ac:dyDescent="0.3">
      <c r="A26" s="33" t="s">
        <v>520</v>
      </c>
      <c r="B26" s="8"/>
      <c r="I26" s="3" t="s">
        <v>414</v>
      </c>
    </row>
    <row r="27" spans="1:9" x14ac:dyDescent="0.3">
      <c r="A27" s="33" t="s">
        <v>524</v>
      </c>
    </row>
  </sheetData>
  <mergeCells count="1">
    <mergeCell ref="A1:D1"/>
  </mergeCells>
  <hyperlinks>
    <hyperlink ref="A21" r:id="rId1" display="** NT's official website does not disclose the number of current hospitalizations, but according to a news article, NWT's Chief Public Health Officer Dr. Kami Kandolato informed that 'in the last five weeks, there's only been two hospitalizations. Those patients recovered and there have been no ICU admissions, and no deaths related to COVID-19 since late March.'" xr:uid="{65B7C9B8-8811-4949-8530-00E388261DB2}"/>
    <hyperlink ref="A22" r:id="rId2" display="**** YT's official website is now informing the number of hospitalizations, which is 2 as of March 7th." xr:uid="{60C3229C-A34A-49F8-80CA-EFE3DB3F2DA6}"/>
    <hyperlink ref="A23" r:id="rId3" xr:uid="{1B5BA096-0930-4B2D-A757-2D37B7F521DA}"/>
    <hyperlink ref="A24" r:id="rId4" display="*****NB's latest official report only informs the number of patients admitted for Covid-19, not including the number of patients that were admitted for other reasons and tested positive for Covid-19 later on." xr:uid="{425E7D14-2C0F-4165-8988-B28FA33742C8}"/>
    <hyperlink ref="A26" r:id="rId5" display="*******SK's information was extracted from the latest official report from May 25th, covering the week of May 15th-21st." xr:uid="{A7EE84B2-D19A-4D5C-8848-C2825581A11A}"/>
    <hyperlink ref="A25" r:id="rId6" display="******MB's official website is no longer doing daily reporting. The information was extracted from the latest offical report from May 10th. Note that these are the numbers of new hospitalizations and ICU admissions for the May 1st-7th week. The numbers of" xr:uid="{473C23F9-3EDF-42E9-8B7F-DB753D9486D2}"/>
    <hyperlink ref="A27" r:id="rId7" xr:uid="{6F395B93-ECBE-4390-988E-60100B58270D}"/>
  </hyperlinks>
  <pageMargins left="0.7" right="0.7" top="0.75" bottom="0.75" header="0.3" footer="0.3"/>
  <pageSetup orientation="portrait" r:id="rId8"/>
  <drawing r:id="rId9"/>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P26"/>
  <sheetViews>
    <sheetView zoomScaleNormal="100" workbookViewId="0">
      <selection sqref="A1:D1"/>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351</v>
      </c>
      <c r="B1" s="44"/>
      <c r="C1" s="44"/>
      <c r="D1" s="44"/>
      <c r="E1" s="2"/>
    </row>
    <row r="2" spans="1:5" x14ac:dyDescent="0.3">
      <c r="B2" s="9" t="s">
        <v>1</v>
      </c>
      <c r="C2" s="10" t="s">
        <v>0</v>
      </c>
    </row>
    <row r="3" spans="1:5" ht="15" thickBot="1" x14ac:dyDescent="0.35">
      <c r="B3" s="20">
        <f>SUM(B4,B5,B6,B7,B8,B9,B10,B11,B12,B13,B16,B15,B14)</f>
        <v>6823</v>
      </c>
      <c r="C3" s="12">
        <f>SUM(C4,C5,C6,C7,C8,C9,,C10,C11,C12,C13,C16,C15,C14)</f>
        <v>833</v>
      </c>
    </row>
    <row r="4" spans="1:5" s="5" customFormat="1" x14ac:dyDescent="0.3">
      <c r="A4" s="4" t="s">
        <v>2</v>
      </c>
      <c r="B4" s="5">
        <v>787</v>
      </c>
      <c r="C4" s="5">
        <v>124</v>
      </c>
    </row>
    <row r="5" spans="1:5" x14ac:dyDescent="0.3">
      <c r="A5" s="4" t="s">
        <v>3</v>
      </c>
      <c r="B5" s="30">
        <v>1538</v>
      </c>
      <c r="C5" s="30">
        <v>123</v>
      </c>
      <c r="D5" s="5"/>
    </row>
    <row r="6" spans="1:5" x14ac:dyDescent="0.3">
      <c r="A6" s="4" t="s">
        <v>4</v>
      </c>
      <c r="B6" s="19">
        <v>1403</v>
      </c>
      <c r="C6" s="6">
        <v>364</v>
      </c>
      <c r="D6" s="5"/>
    </row>
    <row r="7" spans="1:5" x14ac:dyDescent="0.3">
      <c r="A7" s="4" t="s">
        <v>5</v>
      </c>
      <c r="B7" s="32">
        <v>1995</v>
      </c>
      <c r="C7" s="5">
        <v>129</v>
      </c>
      <c r="D7" s="5"/>
    </row>
    <row r="8" spans="1:5" s="15" customFormat="1" x14ac:dyDescent="0.3">
      <c r="A8" s="14" t="s">
        <v>6</v>
      </c>
      <c r="B8" s="6">
        <v>66</v>
      </c>
      <c r="C8" s="6">
        <v>9</v>
      </c>
      <c r="D8" s="5"/>
    </row>
    <row r="9" spans="1:5" x14ac:dyDescent="0.3">
      <c r="A9" s="4" t="s">
        <v>7</v>
      </c>
      <c r="B9" s="5">
        <v>89</v>
      </c>
      <c r="C9" s="5">
        <v>9</v>
      </c>
      <c r="D9" s="5"/>
    </row>
    <row r="10" spans="1:5" x14ac:dyDescent="0.3">
      <c r="A10" s="4" t="s">
        <v>8</v>
      </c>
      <c r="B10" s="5">
        <v>418</v>
      </c>
      <c r="C10" s="5">
        <v>24</v>
      </c>
      <c r="D10" s="5"/>
    </row>
    <row r="11" spans="1:5" x14ac:dyDescent="0.3">
      <c r="A11" s="4" t="s">
        <v>9</v>
      </c>
      <c r="B11" s="5">
        <v>51</v>
      </c>
      <c r="C11" s="5">
        <v>8</v>
      </c>
      <c r="D11" s="5"/>
    </row>
    <row r="12" spans="1:5" x14ac:dyDescent="0.3">
      <c r="A12" s="4" t="s">
        <v>10</v>
      </c>
      <c r="B12" s="5">
        <v>417</v>
      </c>
      <c r="C12" s="5">
        <v>33</v>
      </c>
      <c r="D12" s="5"/>
    </row>
    <row r="13" spans="1:5" x14ac:dyDescent="0.3">
      <c r="A13" s="4" t="s">
        <v>11</v>
      </c>
      <c r="B13" s="5">
        <v>14</v>
      </c>
      <c r="C13" s="5">
        <v>6</v>
      </c>
      <c r="D13" s="5"/>
    </row>
    <row r="14" spans="1:5" x14ac:dyDescent="0.3">
      <c r="A14" s="4" t="s">
        <v>12</v>
      </c>
      <c r="B14" s="8">
        <v>23</v>
      </c>
      <c r="C14" s="7">
        <v>4</v>
      </c>
      <c r="D14" s="5"/>
    </row>
    <row r="15" spans="1:5" x14ac:dyDescent="0.3">
      <c r="A15" s="4" t="s">
        <v>13</v>
      </c>
      <c r="B15" s="5">
        <v>0</v>
      </c>
      <c r="C15" s="5">
        <v>0</v>
      </c>
      <c r="D15" s="5" t="s">
        <v>231</v>
      </c>
    </row>
    <row r="16" spans="1:5" x14ac:dyDescent="0.3">
      <c r="A16" s="4" t="s">
        <v>14</v>
      </c>
      <c r="B16" s="5">
        <v>22</v>
      </c>
      <c r="C16" s="5">
        <v>0</v>
      </c>
      <c r="D16" s="5"/>
    </row>
    <row r="17" spans="1:2" x14ac:dyDescent="0.3">
      <c r="B17" s="3"/>
    </row>
    <row r="20" spans="1:2" x14ac:dyDescent="0.3">
      <c r="A20" s="1" t="s">
        <v>122</v>
      </c>
    </row>
    <row r="21" spans="1:2" x14ac:dyDescent="0.3">
      <c r="A21" s="33" t="s">
        <v>353</v>
      </c>
    </row>
    <row r="22" spans="1:2" x14ac:dyDescent="0.3">
      <c r="A22" s="33" t="s">
        <v>355</v>
      </c>
    </row>
    <row r="23" spans="1:2" x14ac:dyDescent="0.3">
      <c r="A23" s="34" t="s">
        <v>354</v>
      </c>
    </row>
    <row r="24" spans="1:2" x14ac:dyDescent="0.3">
      <c r="A24" s="35" t="s">
        <v>357</v>
      </c>
    </row>
    <row r="25" spans="1:2" x14ac:dyDescent="0.3">
      <c r="A25" s="33" t="s">
        <v>352</v>
      </c>
    </row>
    <row r="26" spans="1:2" x14ac:dyDescent="0.3">
      <c r="A26" s="33" t="s">
        <v>356</v>
      </c>
    </row>
  </sheetData>
  <mergeCells count="1">
    <mergeCell ref="A1:D1"/>
  </mergeCells>
  <hyperlinks>
    <hyperlink ref="A22" r:id="rId1" display="*** NT's official website does not disclose the number of current hospitalizations, but according to the press it was 23 as of February 14th (two new hospitalizations were recorded)." xr:uid="{00000000-0004-0000-1B00-000000000000}"/>
    <hyperlink ref="A23" r:id="rId2" xr:uid="{00000000-0004-0000-1B00-000001000000}"/>
    <hyperlink ref="A24" r:id="rId3" xr:uid="{00000000-0004-0000-1B00-000002000000}"/>
    <hyperlink ref="A21" r:id="rId4" xr:uid="{00000000-0004-0000-1B00-000003000000}"/>
    <hyperlink ref="A25" r:id="rId5" xr:uid="{00000000-0004-0000-1B00-000004000000}"/>
    <hyperlink ref="A26" r:id="rId6" xr:uid="{00000000-0004-0000-1B00-000005000000}"/>
  </hyperlinks>
  <pageMargins left="0.7" right="0.7" top="0.75" bottom="0.75" header="0.3" footer="0.3"/>
  <pageSetup orientation="portrait" r:id="rId7"/>
  <drawing r:id="rId8"/>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P26"/>
  <sheetViews>
    <sheetView zoomScaleNormal="100" workbookViewId="0">
      <selection activeCell="B16" sqref="B16"/>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347</v>
      </c>
      <c r="B1" s="44"/>
      <c r="C1" s="44"/>
      <c r="D1" s="44"/>
      <c r="E1" s="2"/>
    </row>
    <row r="2" spans="1:5" x14ac:dyDescent="0.3">
      <c r="B2" s="9" t="s">
        <v>1</v>
      </c>
      <c r="C2" s="10" t="s">
        <v>0</v>
      </c>
    </row>
    <row r="3" spans="1:5" ht="15" thickBot="1" x14ac:dyDescent="0.35">
      <c r="B3" s="20">
        <f>SUM(B4,B5,B6,B7,B8,B9,B10,B11,B12,B13,B16,B15,B14)</f>
        <v>7095</v>
      </c>
      <c r="C3" s="12">
        <f>SUM(C4,C5,C6,C7,C8,C9,,C10,C11,C12,C13,C16,C15,C14)</f>
        <v>912</v>
      </c>
    </row>
    <row r="4" spans="1:5" s="5" customFormat="1" x14ac:dyDescent="0.3">
      <c r="A4" s="4" t="s">
        <v>2</v>
      </c>
      <c r="B4" s="5">
        <v>846</v>
      </c>
      <c r="C4" s="5">
        <v>136</v>
      </c>
    </row>
    <row r="5" spans="1:5" x14ac:dyDescent="0.3">
      <c r="A5" s="4" t="s">
        <v>3</v>
      </c>
      <c r="B5" s="30">
        <v>1566</v>
      </c>
      <c r="C5" s="30">
        <v>127</v>
      </c>
      <c r="D5" s="5"/>
    </row>
    <row r="6" spans="1:5" x14ac:dyDescent="0.3">
      <c r="A6" s="4" t="s">
        <v>4</v>
      </c>
      <c r="B6" s="19">
        <v>1369</v>
      </c>
      <c r="C6" s="6">
        <v>394</v>
      </c>
      <c r="D6" s="5"/>
    </row>
    <row r="7" spans="1:5" x14ac:dyDescent="0.3">
      <c r="A7" s="4" t="s">
        <v>5</v>
      </c>
      <c r="B7" s="32">
        <v>2214</v>
      </c>
      <c r="C7" s="5">
        <v>164</v>
      </c>
      <c r="D7" s="5"/>
    </row>
    <row r="8" spans="1:5" s="15" customFormat="1" x14ac:dyDescent="0.3">
      <c r="A8" s="14" t="s">
        <v>6</v>
      </c>
      <c r="B8" s="6">
        <v>82</v>
      </c>
      <c r="C8" s="6">
        <v>11</v>
      </c>
      <c r="D8" s="5"/>
    </row>
    <row r="9" spans="1:5" x14ac:dyDescent="0.3">
      <c r="A9" s="4" t="s">
        <v>7</v>
      </c>
      <c r="B9" s="5">
        <v>116</v>
      </c>
      <c r="C9" s="5">
        <v>15</v>
      </c>
      <c r="D9" s="5"/>
    </row>
    <row r="10" spans="1:5" x14ac:dyDescent="0.3">
      <c r="A10" s="4" t="s">
        <v>8</v>
      </c>
      <c r="B10" s="5">
        <v>408</v>
      </c>
      <c r="C10" s="5">
        <v>27</v>
      </c>
      <c r="D10" s="5"/>
    </row>
    <row r="11" spans="1:5" x14ac:dyDescent="0.3">
      <c r="A11" s="4" t="s">
        <v>9</v>
      </c>
      <c r="B11" s="5">
        <v>50</v>
      </c>
      <c r="C11" s="5">
        <v>8</v>
      </c>
      <c r="D11" s="5"/>
    </row>
    <row r="12" spans="1:5" x14ac:dyDescent="0.3">
      <c r="A12" s="4" t="s">
        <v>10</v>
      </c>
      <c r="B12" s="5">
        <v>378</v>
      </c>
      <c r="C12" s="5">
        <v>26</v>
      </c>
      <c r="D12" s="5"/>
    </row>
    <row r="13" spans="1:5" x14ac:dyDescent="0.3">
      <c r="A13" s="4" t="s">
        <v>11</v>
      </c>
      <c r="B13" s="5">
        <v>26</v>
      </c>
      <c r="C13" s="5">
        <v>0</v>
      </c>
      <c r="D13" s="5"/>
    </row>
    <row r="14" spans="1:5" x14ac:dyDescent="0.3">
      <c r="A14" s="4" t="s">
        <v>12</v>
      </c>
      <c r="B14" s="8">
        <v>21</v>
      </c>
      <c r="C14" s="7">
        <v>4</v>
      </c>
      <c r="D14" s="5"/>
    </row>
    <row r="15" spans="1:5" x14ac:dyDescent="0.3">
      <c r="A15" s="4" t="s">
        <v>13</v>
      </c>
      <c r="B15" s="5">
        <v>0</v>
      </c>
      <c r="C15" s="5">
        <v>0</v>
      </c>
      <c r="D15" s="5" t="s">
        <v>231</v>
      </c>
    </row>
    <row r="16" spans="1:5" x14ac:dyDescent="0.3">
      <c r="A16" s="4" t="s">
        <v>14</v>
      </c>
      <c r="B16" s="5">
        <v>19</v>
      </c>
      <c r="C16" s="5">
        <v>0</v>
      </c>
      <c r="D16" s="5"/>
    </row>
    <row r="17" spans="1:2" x14ac:dyDescent="0.3">
      <c r="B17" s="3"/>
    </row>
    <row r="20" spans="1:2" x14ac:dyDescent="0.3">
      <c r="A20" s="1" t="s">
        <v>122</v>
      </c>
    </row>
    <row r="21" spans="1:2" x14ac:dyDescent="0.3">
      <c r="A21" s="33" t="s">
        <v>349</v>
      </c>
    </row>
    <row r="22" spans="1:2" x14ac:dyDescent="0.3">
      <c r="A22" s="33" t="s">
        <v>346</v>
      </c>
    </row>
    <row r="23" spans="1:2" x14ac:dyDescent="0.3">
      <c r="A23" s="34" t="s">
        <v>343</v>
      </c>
    </row>
    <row r="24" spans="1:2" x14ac:dyDescent="0.3">
      <c r="A24" s="35" t="s">
        <v>344</v>
      </c>
    </row>
    <row r="25" spans="1:2" x14ac:dyDescent="0.3">
      <c r="A25" s="33" t="s">
        <v>348</v>
      </c>
    </row>
    <row r="26" spans="1:2" x14ac:dyDescent="0.3">
      <c r="A26" s="33" t="s">
        <v>350</v>
      </c>
    </row>
  </sheetData>
  <mergeCells count="1">
    <mergeCell ref="A1:D1"/>
  </mergeCells>
  <hyperlinks>
    <hyperlink ref="A22" r:id="rId1" display="*** NT's official website does not disclose the number of current hospitalizations, but according to the press it was 21 as of February 10th (one new hospitalizations was recorded)." xr:uid="{00000000-0004-0000-1C00-000000000000}"/>
    <hyperlink ref="A23" r:id="rId2" xr:uid="{00000000-0004-0000-1C00-000001000000}"/>
    <hyperlink ref="A24" r:id="rId3" xr:uid="{00000000-0004-0000-1C00-000002000000}"/>
    <hyperlink ref="A21" r:id="rId4" xr:uid="{00000000-0004-0000-1C00-000003000000}"/>
    <hyperlink ref="A25" r:id="rId5" xr:uid="{00000000-0004-0000-1C00-000004000000}"/>
    <hyperlink ref="A26" r:id="rId6" xr:uid="{00000000-0004-0000-1C00-000005000000}"/>
  </hyperlinks>
  <pageMargins left="0.7" right="0.7" top="0.75" bottom="0.75" header="0.3" footer="0.3"/>
  <pageSetup orientation="portrait" r:id="rId7"/>
  <drawing r:id="rId8"/>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P26"/>
  <sheetViews>
    <sheetView zoomScaleNormal="100" workbookViewId="0">
      <selection activeCell="A22" sqref="A22"/>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340</v>
      </c>
      <c r="B1" s="44"/>
      <c r="C1" s="44"/>
      <c r="D1" s="44"/>
      <c r="E1" s="2"/>
    </row>
    <row r="2" spans="1:5" x14ac:dyDescent="0.3">
      <c r="B2" s="9" t="s">
        <v>1</v>
      </c>
      <c r="C2" s="10" t="s">
        <v>0</v>
      </c>
    </row>
    <row r="3" spans="1:5" ht="15" thickBot="1" x14ac:dyDescent="0.35">
      <c r="B3" s="20">
        <f>SUM(B4,B5,B6,B7,B8,B9,B10,B11,B12,B13,B16,B15,B14)</f>
        <v>7576</v>
      </c>
      <c r="C3" s="12">
        <f>SUM(C4,C5,C6,C7,C8,C9,,C10,C11,C12,C13,C16,C15,C14)</f>
        <v>960</v>
      </c>
    </row>
    <row r="4" spans="1:5" s="5" customFormat="1" x14ac:dyDescent="0.3">
      <c r="A4" s="4" t="s">
        <v>2</v>
      </c>
      <c r="B4" s="5">
        <v>846</v>
      </c>
      <c r="C4" s="5">
        <v>136</v>
      </c>
    </row>
    <row r="5" spans="1:5" x14ac:dyDescent="0.3">
      <c r="A5" s="4" t="s">
        <v>3</v>
      </c>
      <c r="B5" s="30">
        <v>1566</v>
      </c>
      <c r="C5" s="30">
        <v>127</v>
      </c>
      <c r="D5" s="5"/>
    </row>
    <row r="6" spans="1:5" x14ac:dyDescent="0.3">
      <c r="A6" s="4" t="s">
        <v>4</v>
      </c>
      <c r="B6" s="19">
        <v>1829</v>
      </c>
      <c r="C6" s="6">
        <v>435</v>
      </c>
      <c r="D6" s="5"/>
    </row>
    <row r="7" spans="1:5" x14ac:dyDescent="0.3">
      <c r="A7" s="4" t="s">
        <v>5</v>
      </c>
      <c r="B7" s="32">
        <v>2214</v>
      </c>
      <c r="C7" s="5">
        <v>164</v>
      </c>
      <c r="D7" s="5"/>
    </row>
    <row r="8" spans="1:5" s="15" customFormat="1" x14ac:dyDescent="0.3">
      <c r="A8" s="14" t="s">
        <v>6</v>
      </c>
      <c r="B8" s="6">
        <v>82</v>
      </c>
      <c r="C8" s="6">
        <v>11</v>
      </c>
      <c r="D8" s="5"/>
    </row>
    <row r="9" spans="1:5" x14ac:dyDescent="0.3">
      <c r="A9" s="4" t="s">
        <v>7</v>
      </c>
      <c r="B9" s="5">
        <v>135</v>
      </c>
      <c r="C9" s="5">
        <v>13</v>
      </c>
      <c r="D9" s="5"/>
    </row>
    <row r="10" spans="1:5" x14ac:dyDescent="0.3">
      <c r="A10" s="4" t="s">
        <v>8</v>
      </c>
      <c r="B10" s="5">
        <v>408</v>
      </c>
      <c r="C10" s="5">
        <v>27</v>
      </c>
      <c r="D10" s="5"/>
    </row>
    <row r="11" spans="1:5" x14ac:dyDescent="0.3">
      <c r="A11" s="4" t="s">
        <v>9</v>
      </c>
      <c r="B11" s="5">
        <v>50</v>
      </c>
      <c r="C11" s="5">
        <v>8</v>
      </c>
      <c r="D11" s="5"/>
    </row>
    <row r="12" spans="1:5" x14ac:dyDescent="0.3">
      <c r="A12" s="4" t="s">
        <v>10</v>
      </c>
      <c r="B12" s="5">
        <v>384</v>
      </c>
      <c r="C12" s="5">
        <v>26</v>
      </c>
      <c r="D12" s="5"/>
    </row>
    <row r="13" spans="1:5" x14ac:dyDescent="0.3">
      <c r="A13" s="4" t="s">
        <v>11</v>
      </c>
      <c r="B13" s="5">
        <v>22</v>
      </c>
      <c r="C13" s="5">
        <v>9</v>
      </c>
      <c r="D13" s="5"/>
    </row>
    <row r="14" spans="1:5" x14ac:dyDescent="0.3">
      <c r="A14" s="4" t="s">
        <v>12</v>
      </c>
      <c r="B14" s="8">
        <v>21</v>
      </c>
      <c r="C14" s="7">
        <v>4</v>
      </c>
      <c r="D14" s="5"/>
    </row>
    <row r="15" spans="1:5" x14ac:dyDescent="0.3">
      <c r="A15" s="4" t="s">
        <v>13</v>
      </c>
      <c r="B15" s="5">
        <v>0</v>
      </c>
      <c r="C15" s="5">
        <v>0</v>
      </c>
      <c r="D15" s="5" t="s">
        <v>231</v>
      </c>
    </row>
    <row r="16" spans="1:5" x14ac:dyDescent="0.3">
      <c r="A16" s="4" t="s">
        <v>14</v>
      </c>
      <c r="B16" s="5">
        <v>19</v>
      </c>
      <c r="C16" s="5">
        <v>0</v>
      </c>
      <c r="D16" s="5"/>
    </row>
    <row r="17" spans="1:2" x14ac:dyDescent="0.3">
      <c r="B17" s="3"/>
    </row>
    <row r="20" spans="1:2" x14ac:dyDescent="0.3">
      <c r="A20" s="1" t="s">
        <v>122</v>
      </c>
    </row>
    <row r="21" spans="1:2" x14ac:dyDescent="0.3">
      <c r="A21" s="33" t="s">
        <v>342</v>
      </c>
    </row>
    <row r="22" spans="1:2" x14ac:dyDescent="0.3">
      <c r="A22" s="33" t="s">
        <v>346</v>
      </c>
    </row>
    <row r="23" spans="1:2" x14ac:dyDescent="0.3">
      <c r="A23" s="34" t="s">
        <v>343</v>
      </c>
    </row>
    <row r="24" spans="1:2" x14ac:dyDescent="0.3">
      <c r="A24" s="35" t="s">
        <v>344</v>
      </c>
    </row>
    <row r="25" spans="1:2" x14ac:dyDescent="0.3">
      <c r="A25" s="33" t="s">
        <v>341</v>
      </c>
    </row>
    <row r="26" spans="1:2" x14ac:dyDescent="0.3">
      <c r="A26" s="33" t="s">
        <v>345</v>
      </c>
    </row>
  </sheetData>
  <mergeCells count="1">
    <mergeCell ref="A1:D1"/>
  </mergeCells>
  <hyperlinks>
    <hyperlink ref="A22" r:id="rId1" display="*** NT's official website does not disclose the number of current hospitalizations, but according to the press it was 21 as of February 10th (one new hospitalizations was recorded)." xr:uid="{00000000-0004-0000-1D00-000000000000}"/>
    <hyperlink ref="A23" r:id="rId2" xr:uid="{00000000-0004-0000-1D00-000001000000}"/>
    <hyperlink ref="A24" r:id="rId3" xr:uid="{00000000-0004-0000-1D00-000002000000}"/>
    <hyperlink ref="A21" r:id="rId4" xr:uid="{00000000-0004-0000-1D00-000003000000}"/>
    <hyperlink ref="A25" r:id="rId5" xr:uid="{00000000-0004-0000-1D00-000004000000}"/>
    <hyperlink ref="A26" r:id="rId6" xr:uid="{00000000-0004-0000-1D00-000005000000}"/>
  </hyperlinks>
  <pageMargins left="0.7" right="0.7" top="0.75" bottom="0.75" header="0.3" footer="0.3"/>
  <pageSetup orientation="portrait" r:id="rId7"/>
  <drawing r:id="rId8"/>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P25"/>
  <sheetViews>
    <sheetView zoomScaleNormal="100" workbookViewId="0">
      <selection activeCell="B14" sqref="B1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334</v>
      </c>
      <c r="B1" s="44"/>
      <c r="C1" s="44"/>
      <c r="D1" s="44"/>
      <c r="E1" s="2"/>
    </row>
    <row r="2" spans="1:5" x14ac:dyDescent="0.3">
      <c r="B2" s="9" t="s">
        <v>1</v>
      </c>
      <c r="C2" s="10" t="s">
        <v>0</v>
      </c>
    </row>
    <row r="3" spans="1:5" ht="15" thickBot="1" x14ac:dyDescent="0.35">
      <c r="B3" s="20">
        <f>SUM(B4,B5,B6,B7,B8,B9,B10,B11,B12,B13,B16,B15,B14)</f>
        <v>8231</v>
      </c>
      <c r="C3" s="12">
        <f>SUM(C4,C5,C6,C7,C8,C9,,C10,C11,C12,C13,C16,C15,C14)</f>
        <v>1005</v>
      </c>
    </row>
    <row r="4" spans="1:5" s="5" customFormat="1" x14ac:dyDescent="0.3">
      <c r="A4" s="4" t="s">
        <v>2</v>
      </c>
      <c r="B4" s="5">
        <v>986</v>
      </c>
      <c r="C4" s="5">
        <v>146</v>
      </c>
    </row>
    <row r="5" spans="1:5" x14ac:dyDescent="0.3">
      <c r="A5" s="4" t="s">
        <v>3</v>
      </c>
      <c r="B5" s="30">
        <v>1623</v>
      </c>
      <c r="C5" s="30">
        <v>129</v>
      </c>
      <c r="D5" s="5"/>
    </row>
    <row r="6" spans="1:5" x14ac:dyDescent="0.3">
      <c r="A6" s="4" t="s">
        <v>4</v>
      </c>
      <c r="B6" s="19">
        <v>2059</v>
      </c>
      <c r="C6" s="6">
        <v>449</v>
      </c>
      <c r="D6" s="5"/>
    </row>
    <row r="7" spans="1:5" x14ac:dyDescent="0.3">
      <c r="A7" s="4" t="s">
        <v>5</v>
      </c>
      <c r="B7" s="32">
        <v>2348</v>
      </c>
      <c r="C7" s="5">
        <v>171</v>
      </c>
      <c r="D7" s="5"/>
    </row>
    <row r="8" spans="1:5" s="15" customFormat="1" x14ac:dyDescent="0.3">
      <c r="A8" s="14" t="s">
        <v>6</v>
      </c>
      <c r="B8" s="6">
        <v>91</v>
      </c>
      <c r="C8" s="6">
        <v>14</v>
      </c>
      <c r="D8" s="5"/>
    </row>
    <row r="9" spans="1:5" x14ac:dyDescent="0.3">
      <c r="A9" s="4" t="s">
        <v>7</v>
      </c>
      <c r="B9" s="5">
        <v>151</v>
      </c>
      <c r="C9" s="5">
        <v>17</v>
      </c>
      <c r="D9" s="5"/>
    </row>
    <row r="10" spans="1:5" x14ac:dyDescent="0.3">
      <c r="A10" s="4" t="s">
        <v>8</v>
      </c>
      <c r="B10" s="5">
        <v>530</v>
      </c>
      <c r="C10" s="5">
        <v>29</v>
      </c>
      <c r="D10" s="5"/>
    </row>
    <row r="11" spans="1:5" x14ac:dyDescent="0.3">
      <c r="A11" s="4" t="s">
        <v>9</v>
      </c>
      <c r="B11" s="5">
        <v>45</v>
      </c>
      <c r="C11" s="5">
        <v>8</v>
      </c>
      <c r="D11" s="5"/>
    </row>
    <row r="12" spans="1:5" x14ac:dyDescent="0.3">
      <c r="A12" s="4" t="s">
        <v>10</v>
      </c>
      <c r="B12" s="5">
        <v>332</v>
      </c>
      <c r="C12" s="5">
        <v>31</v>
      </c>
      <c r="D12" s="5"/>
    </row>
    <row r="13" spans="1:5" x14ac:dyDescent="0.3">
      <c r="A13" s="4" t="s">
        <v>11</v>
      </c>
      <c r="B13" s="5">
        <v>23</v>
      </c>
      <c r="C13" s="5">
        <v>7</v>
      </c>
      <c r="D13" s="5"/>
    </row>
    <row r="14" spans="1:5" x14ac:dyDescent="0.3">
      <c r="A14" s="4" t="s">
        <v>12</v>
      </c>
      <c r="B14" s="8">
        <v>20</v>
      </c>
      <c r="C14" s="7">
        <v>4</v>
      </c>
      <c r="D14" s="5"/>
    </row>
    <row r="15" spans="1:5" x14ac:dyDescent="0.3">
      <c r="A15" s="4" t="s">
        <v>13</v>
      </c>
      <c r="B15" s="5">
        <v>4</v>
      </c>
      <c r="C15" s="5">
        <v>0</v>
      </c>
      <c r="D15" s="5" t="s">
        <v>231</v>
      </c>
    </row>
    <row r="16" spans="1:5" x14ac:dyDescent="0.3">
      <c r="A16" s="4" t="s">
        <v>14</v>
      </c>
      <c r="B16" s="5">
        <v>19</v>
      </c>
      <c r="C16" s="5">
        <v>0</v>
      </c>
      <c r="D16" s="5"/>
    </row>
    <row r="17" spans="1:2" x14ac:dyDescent="0.3">
      <c r="B17" s="3"/>
    </row>
    <row r="20" spans="1:2" x14ac:dyDescent="0.3">
      <c r="A20" s="1" t="s">
        <v>122</v>
      </c>
    </row>
    <row r="21" spans="1:2" x14ac:dyDescent="0.3">
      <c r="A21" s="33" t="s">
        <v>336</v>
      </c>
    </row>
    <row r="22" spans="1:2" x14ac:dyDescent="0.3">
      <c r="A22" s="33" t="s">
        <v>337</v>
      </c>
    </row>
    <row r="23" spans="1:2" x14ac:dyDescent="0.3">
      <c r="A23" s="34" t="s">
        <v>338</v>
      </c>
    </row>
    <row r="24" spans="1:2" x14ac:dyDescent="0.3">
      <c r="A24" s="35" t="s">
        <v>339</v>
      </c>
    </row>
    <row r="25" spans="1:2" x14ac:dyDescent="0.3">
      <c r="A25" s="33" t="s">
        <v>335</v>
      </c>
    </row>
  </sheetData>
  <mergeCells count="1">
    <mergeCell ref="A1:D1"/>
  </mergeCells>
  <hyperlinks>
    <hyperlink ref="A22" r:id="rId1" xr:uid="{00000000-0004-0000-1E00-000000000000}"/>
    <hyperlink ref="A23" r:id="rId2" xr:uid="{00000000-0004-0000-1E00-000001000000}"/>
    <hyperlink ref="A24" r:id="rId3" xr:uid="{00000000-0004-0000-1E00-000002000000}"/>
    <hyperlink ref="A21" r:id="rId4" display="** NL's official website does not disclose the number of ICU patients, but according to the press it is 7 as of February 8th." xr:uid="{00000000-0004-0000-1E00-000003000000}"/>
    <hyperlink ref="A25" r:id="rId5" display="******NB's  information was extracted from a news article dated from February 6th." xr:uid="{00000000-0004-0000-1E00-000004000000}"/>
  </hyperlinks>
  <pageMargins left="0.7" right="0.7" top="0.75" bottom="0.75" header="0.3" footer="0.3"/>
  <pageSetup orientation="portrait" r:id="rId6"/>
  <drawing r:id="rId7"/>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P25"/>
  <sheetViews>
    <sheetView zoomScaleNormal="100" workbookViewId="0">
      <selection activeCell="A24" sqref="A2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332</v>
      </c>
      <c r="B1" s="44"/>
      <c r="C1" s="44"/>
      <c r="D1" s="44"/>
      <c r="E1" s="2"/>
    </row>
    <row r="2" spans="1:5" x14ac:dyDescent="0.3">
      <c r="B2" s="9" t="s">
        <v>1</v>
      </c>
      <c r="C2" s="10" t="s">
        <v>0</v>
      </c>
    </row>
    <row r="3" spans="1:5" ht="15" thickBot="1" x14ac:dyDescent="0.35">
      <c r="B3" s="20">
        <f>SUM(B4,B5,B6,B7,B8,B9,B10,B11,B12,B13,B16,B15,B14)</f>
        <v>8315</v>
      </c>
      <c r="C3" s="12">
        <f>SUM(C4,C5,C6,C7,C8,C9,,C10,C11,C12,C13,C16,C15,C14)</f>
        <v>1033</v>
      </c>
    </row>
    <row r="4" spans="1:5" s="5" customFormat="1" x14ac:dyDescent="0.3">
      <c r="A4" s="4" t="s">
        <v>2</v>
      </c>
      <c r="B4" s="5">
        <v>946</v>
      </c>
      <c r="C4" s="5">
        <v>139</v>
      </c>
    </row>
    <row r="5" spans="1:5" x14ac:dyDescent="0.3">
      <c r="A5" s="4" t="s">
        <v>3</v>
      </c>
      <c r="B5" s="30">
        <v>1584</v>
      </c>
      <c r="C5" s="30">
        <v>118</v>
      </c>
      <c r="D5" s="5"/>
    </row>
    <row r="6" spans="1:5" x14ac:dyDescent="0.3">
      <c r="A6" s="4" t="s">
        <v>4</v>
      </c>
      <c r="B6" s="19">
        <v>2155</v>
      </c>
      <c r="C6" s="6">
        <v>486</v>
      </c>
      <c r="D6" s="5"/>
    </row>
    <row r="7" spans="1:5" x14ac:dyDescent="0.3">
      <c r="A7" s="4" t="s">
        <v>5</v>
      </c>
      <c r="B7" s="32">
        <v>2425</v>
      </c>
      <c r="C7" s="5">
        <v>178</v>
      </c>
      <c r="D7" s="5"/>
    </row>
    <row r="8" spans="1:5" s="15" customFormat="1" x14ac:dyDescent="0.3">
      <c r="A8" s="14" t="s">
        <v>6</v>
      </c>
      <c r="B8" s="6">
        <v>91</v>
      </c>
      <c r="C8" s="6">
        <v>12</v>
      </c>
      <c r="D8" s="5"/>
    </row>
    <row r="9" spans="1:5" x14ac:dyDescent="0.3">
      <c r="A9" s="4" t="s">
        <v>7</v>
      </c>
      <c r="B9" s="5">
        <v>151</v>
      </c>
      <c r="C9" s="5">
        <v>16</v>
      </c>
      <c r="D9" s="5"/>
    </row>
    <row r="10" spans="1:5" x14ac:dyDescent="0.3">
      <c r="A10" s="4" t="s">
        <v>8</v>
      </c>
      <c r="B10" s="5">
        <v>529</v>
      </c>
      <c r="C10" s="5">
        <v>35</v>
      </c>
      <c r="D10" s="5"/>
    </row>
    <row r="11" spans="1:5" x14ac:dyDescent="0.3">
      <c r="A11" s="4" t="s">
        <v>9</v>
      </c>
      <c r="B11" s="5">
        <v>45</v>
      </c>
      <c r="C11" s="5">
        <v>8</v>
      </c>
      <c r="D11" s="5"/>
    </row>
    <row r="12" spans="1:5" x14ac:dyDescent="0.3">
      <c r="A12" s="4" t="s">
        <v>10</v>
      </c>
      <c r="B12" s="5">
        <v>332</v>
      </c>
      <c r="C12" s="5">
        <v>31</v>
      </c>
      <c r="D12" s="5"/>
    </row>
    <row r="13" spans="1:5" x14ac:dyDescent="0.3">
      <c r="A13" s="4" t="s">
        <v>11</v>
      </c>
      <c r="B13" s="5">
        <v>22</v>
      </c>
      <c r="C13" s="5">
        <v>6</v>
      </c>
      <c r="D13" s="5"/>
    </row>
    <row r="14" spans="1:5" x14ac:dyDescent="0.3">
      <c r="A14" s="4" t="s">
        <v>12</v>
      </c>
      <c r="B14" s="8">
        <v>18</v>
      </c>
      <c r="C14" s="7">
        <v>4</v>
      </c>
      <c r="D14" s="5"/>
    </row>
    <row r="15" spans="1:5" x14ac:dyDescent="0.3">
      <c r="A15" s="4" t="s">
        <v>13</v>
      </c>
      <c r="B15" s="5">
        <v>4</v>
      </c>
      <c r="C15" s="5">
        <v>0</v>
      </c>
      <c r="D15" s="5" t="s">
        <v>231</v>
      </c>
    </row>
    <row r="16" spans="1:5" x14ac:dyDescent="0.3">
      <c r="A16" s="4" t="s">
        <v>14</v>
      </c>
      <c r="B16" s="5">
        <v>13</v>
      </c>
      <c r="C16" s="5">
        <v>0</v>
      </c>
      <c r="D16" s="5"/>
    </row>
    <row r="17" spans="1:2" x14ac:dyDescent="0.3">
      <c r="B17" s="3"/>
    </row>
    <row r="20" spans="1:2" x14ac:dyDescent="0.3">
      <c r="A20" s="1" t="s">
        <v>122</v>
      </c>
    </row>
    <row r="21" spans="1:2" x14ac:dyDescent="0.3">
      <c r="A21" s="33" t="s">
        <v>330</v>
      </c>
    </row>
    <row r="22" spans="1:2" x14ac:dyDescent="0.3">
      <c r="A22" s="33" t="s">
        <v>331</v>
      </c>
    </row>
    <row r="23" spans="1:2" x14ac:dyDescent="0.3">
      <c r="A23" s="34" t="s">
        <v>327</v>
      </c>
    </row>
    <row r="24" spans="1:2" x14ac:dyDescent="0.3">
      <c r="A24" s="35" t="s">
        <v>333</v>
      </c>
    </row>
    <row r="25" spans="1:2" x14ac:dyDescent="0.3">
      <c r="A25" s="33" t="s">
        <v>329</v>
      </c>
    </row>
  </sheetData>
  <mergeCells count="1">
    <mergeCell ref="A1:D1"/>
  </mergeCells>
  <hyperlinks>
    <hyperlink ref="A22" r:id="rId1" xr:uid="{00000000-0004-0000-1F00-000000000000}"/>
    <hyperlink ref="A23" r:id="rId2" xr:uid="{00000000-0004-0000-1F00-000001000000}"/>
    <hyperlink ref="A24" r:id="rId3" xr:uid="{00000000-0004-0000-1F00-000002000000}"/>
    <hyperlink ref="A21" r:id="rId4" xr:uid="{00000000-0004-0000-1F00-000003000000}"/>
    <hyperlink ref="A25" r:id="rId5" xr:uid="{00000000-0004-0000-1F00-000004000000}"/>
  </hyperlinks>
  <pageMargins left="0.7" right="0.7" top="0.75" bottom="0.75" header="0.3" footer="0.3"/>
  <pageSetup orientation="portrait" r:id="rId6"/>
  <drawing r:id="rId7"/>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P25"/>
  <sheetViews>
    <sheetView zoomScaleNormal="100" workbookViewId="0">
      <selection activeCell="A24" sqref="A2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323</v>
      </c>
      <c r="B1" s="44"/>
      <c r="C1" s="44"/>
      <c r="D1" s="44"/>
      <c r="E1" s="2"/>
    </row>
    <row r="2" spans="1:5" x14ac:dyDescent="0.3">
      <c r="B2" s="9" t="s">
        <v>1</v>
      </c>
      <c r="C2" s="10" t="s">
        <v>0</v>
      </c>
    </row>
    <row r="3" spans="1:5" ht="15" thickBot="1" x14ac:dyDescent="0.35">
      <c r="B3" s="20">
        <f>SUM(B4,B5,B6,B7,B8,B9,B10,B11,B12,B13,B16,B15,B14)</f>
        <v>8985</v>
      </c>
      <c r="C3" s="12">
        <f>SUM(C4,C5,C6,C7,C8,C9,,C10,C11,C12,C13,C16,C15,C14)</f>
        <v>1090</v>
      </c>
    </row>
    <row r="4" spans="1:5" s="5" customFormat="1" x14ac:dyDescent="0.3">
      <c r="A4" s="4" t="s">
        <v>2</v>
      </c>
      <c r="B4" s="5">
        <v>985</v>
      </c>
      <c r="C4" s="5">
        <v>145</v>
      </c>
    </row>
    <row r="5" spans="1:5" x14ac:dyDescent="0.3">
      <c r="A5" s="4" t="s">
        <v>3</v>
      </c>
      <c r="B5" s="30">
        <v>1584</v>
      </c>
      <c r="C5" s="30">
        <v>118</v>
      </c>
      <c r="D5" s="5"/>
    </row>
    <row r="6" spans="1:5" x14ac:dyDescent="0.3">
      <c r="A6" s="4" t="s">
        <v>4</v>
      </c>
      <c r="B6" s="19">
        <v>2634</v>
      </c>
      <c r="C6" s="6">
        <v>517</v>
      </c>
      <c r="D6" s="5"/>
    </row>
    <row r="7" spans="1:5" x14ac:dyDescent="0.3">
      <c r="A7" s="4" t="s">
        <v>5</v>
      </c>
      <c r="B7" s="32">
        <v>2541</v>
      </c>
      <c r="C7" s="5">
        <v>184</v>
      </c>
      <c r="D7" s="5"/>
    </row>
    <row r="8" spans="1:5" s="15" customFormat="1" x14ac:dyDescent="0.3">
      <c r="A8" s="14" t="s">
        <v>6</v>
      </c>
      <c r="B8" s="6">
        <v>99</v>
      </c>
      <c r="C8" s="6">
        <v>15</v>
      </c>
      <c r="D8" s="5"/>
    </row>
    <row r="9" spans="1:5" x14ac:dyDescent="0.3">
      <c r="A9" s="4" t="s">
        <v>7</v>
      </c>
      <c r="B9" s="5">
        <v>162</v>
      </c>
      <c r="C9" s="5">
        <v>17</v>
      </c>
      <c r="D9" s="5"/>
    </row>
    <row r="10" spans="1:5" x14ac:dyDescent="0.3">
      <c r="A10" s="4" t="s">
        <v>8</v>
      </c>
      <c r="B10" s="5">
        <v>517</v>
      </c>
      <c r="C10" s="5">
        <v>39</v>
      </c>
      <c r="D10" s="5"/>
    </row>
    <row r="11" spans="1:5" x14ac:dyDescent="0.3">
      <c r="A11" s="4" t="s">
        <v>9</v>
      </c>
      <c r="B11" s="5">
        <v>45</v>
      </c>
      <c r="C11" s="5">
        <v>8</v>
      </c>
      <c r="D11" s="5"/>
    </row>
    <row r="12" spans="1:5" x14ac:dyDescent="0.3">
      <c r="A12" s="4" t="s">
        <v>10</v>
      </c>
      <c r="B12" s="5">
        <v>363</v>
      </c>
      <c r="C12" s="5">
        <v>34</v>
      </c>
      <c r="D12" s="5"/>
    </row>
    <row r="13" spans="1:5" x14ac:dyDescent="0.3">
      <c r="A13" s="4" t="s">
        <v>11</v>
      </c>
      <c r="B13" s="5">
        <v>20</v>
      </c>
      <c r="C13" s="5">
        <v>9</v>
      </c>
      <c r="D13" s="5"/>
    </row>
    <row r="14" spans="1:5" x14ac:dyDescent="0.3">
      <c r="A14" s="4" t="s">
        <v>12</v>
      </c>
      <c r="B14" s="8">
        <v>18</v>
      </c>
      <c r="C14" s="7">
        <v>4</v>
      </c>
      <c r="D14" s="5"/>
    </row>
    <row r="15" spans="1:5" x14ac:dyDescent="0.3">
      <c r="A15" s="4" t="s">
        <v>13</v>
      </c>
      <c r="B15" s="5">
        <v>4</v>
      </c>
      <c r="C15" s="5">
        <v>0</v>
      </c>
      <c r="D15" s="5" t="s">
        <v>231</v>
      </c>
    </row>
    <row r="16" spans="1:5" x14ac:dyDescent="0.3">
      <c r="A16" s="4" t="s">
        <v>14</v>
      </c>
      <c r="B16" s="5">
        <v>13</v>
      </c>
      <c r="C16" s="5">
        <v>0</v>
      </c>
      <c r="D16" s="5"/>
    </row>
    <row r="17" spans="1:2" x14ac:dyDescent="0.3">
      <c r="B17" s="3"/>
    </row>
    <row r="20" spans="1:2" x14ac:dyDescent="0.3">
      <c r="A20" s="1" t="s">
        <v>122</v>
      </c>
    </row>
    <row r="21" spans="1:2" x14ac:dyDescent="0.3">
      <c r="A21" s="33" t="s">
        <v>325</v>
      </c>
    </row>
    <row r="22" spans="1:2" x14ac:dyDescent="0.3">
      <c r="A22" s="33" t="s">
        <v>326</v>
      </c>
    </row>
    <row r="23" spans="1:2" x14ac:dyDescent="0.3">
      <c r="A23" s="34" t="s">
        <v>327</v>
      </c>
    </row>
    <row r="24" spans="1:2" x14ac:dyDescent="0.3">
      <c r="A24" s="35" t="s">
        <v>328</v>
      </c>
    </row>
    <row r="25" spans="1:2" x14ac:dyDescent="0.3">
      <c r="A25" s="33" t="s">
        <v>324</v>
      </c>
    </row>
  </sheetData>
  <mergeCells count="1">
    <mergeCell ref="A1:D1"/>
  </mergeCells>
  <hyperlinks>
    <hyperlink ref="A22" r:id="rId1" xr:uid="{00000000-0004-0000-2000-000000000000}"/>
    <hyperlink ref="A23" r:id="rId2" xr:uid="{00000000-0004-0000-2000-000001000000}"/>
    <hyperlink ref="A24" r:id="rId3" xr:uid="{00000000-0004-0000-2000-000002000000}"/>
    <hyperlink ref="A21" r:id="rId4" xr:uid="{00000000-0004-0000-2000-000003000000}"/>
    <hyperlink ref="A25" r:id="rId5" xr:uid="{00000000-0004-0000-2000-000004000000}"/>
  </hyperlinks>
  <pageMargins left="0.7" right="0.7" top="0.75" bottom="0.75" header="0.3" footer="0.3"/>
  <pageSetup orientation="portrait" r:id="rId6"/>
  <drawing r:id="rId7"/>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P25"/>
  <sheetViews>
    <sheetView zoomScaleNormal="100" workbookViewId="0">
      <selection activeCell="C12" sqref="C12"/>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318</v>
      </c>
      <c r="B1" s="44"/>
      <c r="C1" s="44"/>
      <c r="D1" s="44"/>
      <c r="E1" s="2"/>
    </row>
    <row r="2" spans="1:5" x14ac:dyDescent="0.3">
      <c r="B2" s="9" t="s">
        <v>1</v>
      </c>
      <c r="C2" s="10" t="s">
        <v>0</v>
      </c>
    </row>
    <row r="3" spans="1:5" ht="15" thickBot="1" x14ac:dyDescent="0.35">
      <c r="B3" s="20">
        <f>SUM(B4,B5,B6,B7,B8,B9,B10,B11,B12,B13,B16,B15,B14)</f>
        <v>9669</v>
      </c>
      <c r="C3" s="12">
        <f>SUM(C4,C5,C6,C7,C8,C9,,C10,C11,C12,C13,C16,C15,C14)</f>
        <v>1140</v>
      </c>
    </row>
    <row r="4" spans="1:5" s="5" customFormat="1" x14ac:dyDescent="0.3">
      <c r="A4" s="4" t="s">
        <v>2</v>
      </c>
      <c r="B4" s="5">
        <v>1035</v>
      </c>
      <c r="C4" s="5">
        <v>139</v>
      </c>
    </row>
    <row r="5" spans="1:5" x14ac:dyDescent="0.3">
      <c r="A5" s="4" t="s">
        <v>3</v>
      </c>
      <c r="B5" s="30">
        <v>1598</v>
      </c>
      <c r="C5" s="30">
        <v>106</v>
      </c>
      <c r="D5" s="5"/>
    </row>
    <row r="6" spans="1:5" x14ac:dyDescent="0.3">
      <c r="A6" s="4" t="s">
        <v>4</v>
      </c>
      <c r="B6" s="19">
        <v>2939</v>
      </c>
      <c r="C6" s="6">
        <v>555</v>
      </c>
      <c r="D6" s="5"/>
    </row>
    <row r="7" spans="1:5" x14ac:dyDescent="0.3">
      <c r="A7" s="4" t="s">
        <v>5</v>
      </c>
      <c r="B7" s="32">
        <v>2730</v>
      </c>
      <c r="C7" s="5">
        <v>204</v>
      </c>
      <c r="D7" s="5"/>
    </row>
    <row r="8" spans="1:5" s="15" customFormat="1" x14ac:dyDescent="0.3">
      <c r="A8" s="14" t="s">
        <v>6</v>
      </c>
      <c r="B8" s="6">
        <v>92</v>
      </c>
      <c r="C8" s="6">
        <v>13</v>
      </c>
      <c r="D8" s="5"/>
    </row>
    <row r="9" spans="1:5" x14ac:dyDescent="0.3">
      <c r="A9" s="4" t="s">
        <v>7</v>
      </c>
      <c r="B9" s="5">
        <v>165</v>
      </c>
      <c r="C9" s="5">
        <v>16</v>
      </c>
      <c r="D9" s="5"/>
    </row>
    <row r="10" spans="1:5" x14ac:dyDescent="0.3">
      <c r="A10" s="4" t="s">
        <v>8</v>
      </c>
      <c r="B10" s="5">
        <v>642</v>
      </c>
      <c r="C10" s="5">
        <v>47</v>
      </c>
      <c r="D10" s="5"/>
    </row>
    <row r="11" spans="1:5" x14ac:dyDescent="0.3">
      <c r="A11" s="4" t="s">
        <v>9</v>
      </c>
      <c r="B11" s="5">
        <v>44</v>
      </c>
      <c r="C11" s="5">
        <v>7</v>
      </c>
      <c r="D11" s="5"/>
    </row>
    <row r="12" spans="1:5" x14ac:dyDescent="0.3">
      <c r="A12" s="4" t="s">
        <v>10</v>
      </c>
      <c r="B12" s="5">
        <v>372</v>
      </c>
      <c r="C12" s="5">
        <v>40</v>
      </c>
      <c r="D12" s="5"/>
    </row>
    <row r="13" spans="1:5" x14ac:dyDescent="0.3">
      <c r="A13" s="4" t="s">
        <v>11</v>
      </c>
      <c r="B13" s="5">
        <v>20</v>
      </c>
      <c r="C13" s="5">
        <v>9</v>
      </c>
      <c r="D13" s="5"/>
    </row>
    <row r="14" spans="1:5" x14ac:dyDescent="0.3">
      <c r="A14" s="4" t="s">
        <v>12</v>
      </c>
      <c r="B14" s="8">
        <v>18</v>
      </c>
      <c r="C14" s="7">
        <v>4</v>
      </c>
      <c r="D14" s="5"/>
    </row>
    <row r="15" spans="1:5" x14ac:dyDescent="0.3">
      <c r="A15" s="4" t="s">
        <v>13</v>
      </c>
      <c r="B15" s="5">
        <v>1</v>
      </c>
      <c r="C15" s="5">
        <v>0</v>
      </c>
      <c r="D15" s="5" t="s">
        <v>231</v>
      </c>
    </row>
    <row r="16" spans="1:5" x14ac:dyDescent="0.3">
      <c r="A16" s="4" t="s">
        <v>14</v>
      </c>
      <c r="B16" s="5">
        <v>13</v>
      </c>
      <c r="C16" s="5">
        <v>0</v>
      </c>
      <c r="D16" s="5"/>
    </row>
    <row r="17" spans="1:2" x14ac:dyDescent="0.3">
      <c r="B17" s="3"/>
    </row>
    <row r="20" spans="1:2" x14ac:dyDescent="0.3">
      <c r="A20" s="1" t="s">
        <v>122</v>
      </c>
    </row>
    <row r="21" spans="1:2" x14ac:dyDescent="0.3">
      <c r="A21" s="33" t="s">
        <v>320</v>
      </c>
    </row>
    <row r="22" spans="1:2" x14ac:dyDescent="0.3">
      <c r="A22" s="33" t="s">
        <v>321</v>
      </c>
    </row>
    <row r="23" spans="1:2" x14ac:dyDescent="0.3">
      <c r="A23" s="34" t="s">
        <v>313</v>
      </c>
    </row>
    <row r="24" spans="1:2" x14ac:dyDescent="0.3">
      <c r="A24" s="35" t="s">
        <v>322</v>
      </c>
    </row>
    <row r="25" spans="1:2" x14ac:dyDescent="0.3">
      <c r="A25" s="33" t="s">
        <v>319</v>
      </c>
    </row>
  </sheetData>
  <mergeCells count="1">
    <mergeCell ref="A1:D1"/>
  </mergeCells>
  <hyperlinks>
    <hyperlink ref="A22" r:id="rId1" xr:uid="{00000000-0004-0000-2100-000000000000}"/>
    <hyperlink ref="A23" r:id="rId2" xr:uid="{00000000-0004-0000-2100-000001000000}"/>
    <hyperlink ref="A24" r:id="rId3" xr:uid="{00000000-0004-0000-2100-000002000000}"/>
    <hyperlink ref="A21" r:id="rId4" xr:uid="{00000000-0004-0000-2100-000003000000}"/>
    <hyperlink ref="A25" r:id="rId5" xr:uid="{00000000-0004-0000-2100-000004000000}"/>
  </hyperlinks>
  <pageMargins left="0.7" right="0.7" top="0.75" bottom="0.75" header="0.3" footer="0.3"/>
  <pageSetup orientation="portrait" r:id="rId6"/>
  <drawing r:id="rId7"/>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P25"/>
  <sheetViews>
    <sheetView zoomScaleNormal="100" workbookViewId="0">
      <selection sqref="A1:D1"/>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317</v>
      </c>
      <c r="B1" s="44"/>
      <c r="C1" s="44"/>
      <c r="D1" s="44"/>
      <c r="E1" s="2"/>
    </row>
    <row r="2" spans="1:5" x14ac:dyDescent="0.3">
      <c r="B2" s="9" t="s">
        <v>1</v>
      </c>
      <c r="C2" s="10" t="s">
        <v>0</v>
      </c>
    </row>
    <row r="3" spans="1:5" ht="15" thickBot="1" x14ac:dyDescent="0.35">
      <c r="B3" s="20">
        <f>SUM(B4,B5,B6,B7,B8,B9,B10,B11,B12,B13,B16,B15,B14)</f>
        <v>9882</v>
      </c>
      <c r="C3" s="12">
        <f>SUM(C4,C5,C6,C7,C8,C9,,C10,C11,C12,C13,C16,C15,C14)</f>
        <v>1192</v>
      </c>
    </row>
    <row r="4" spans="1:5" s="5" customFormat="1" x14ac:dyDescent="0.3">
      <c r="A4" s="4" t="s">
        <v>2</v>
      </c>
      <c r="B4" s="5">
        <v>990</v>
      </c>
      <c r="C4" s="5">
        <v>141</v>
      </c>
    </row>
    <row r="5" spans="1:5" x14ac:dyDescent="0.3">
      <c r="A5" s="4" t="s">
        <v>3</v>
      </c>
      <c r="B5" s="30">
        <v>1496</v>
      </c>
      <c r="C5" s="30">
        <v>105</v>
      </c>
      <c r="D5" s="5"/>
    </row>
    <row r="6" spans="1:5" x14ac:dyDescent="0.3">
      <c r="A6" s="4" t="s">
        <v>4</v>
      </c>
      <c r="B6" s="19">
        <v>3019</v>
      </c>
      <c r="C6" s="6">
        <v>587</v>
      </c>
      <c r="D6" s="5"/>
    </row>
    <row r="7" spans="1:5" x14ac:dyDescent="0.3">
      <c r="A7" s="4" t="s">
        <v>5</v>
      </c>
      <c r="B7" s="32">
        <v>3091</v>
      </c>
      <c r="C7" s="5">
        <v>228</v>
      </c>
      <c r="D7" s="5"/>
    </row>
    <row r="8" spans="1:5" s="15" customFormat="1" x14ac:dyDescent="0.3">
      <c r="A8" s="14" t="s">
        <v>6</v>
      </c>
      <c r="B8" s="6">
        <v>88</v>
      </c>
      <c r="C8" s="6">
        <v>15</v>
      </c>
      <c r="D8" s="5"/>
    </row>
    <row r="9" spans="1:5" x14ac:dyDescent="0.3">
      <c r="A9" s="4" t="s">
        <v>7</v>
      </c>
      <c r="B9" s="5">
        <v>164</v>
      </c>
      <c r="C9" s="5">
        <v>13</v>
      </c>
      <c r="D9" s="5"/>
    </row>
    <row r="10" spans="1:5" x14ac:dyDescent="0.3">
      <c r="A10" s="4" t="s">
        <v>8</v>
      </c>
      <c r="B10" s="5">
        <v>606</v>
      </c>
      <c r="C10" s="5">
        <v>46</v>
      </c>
      <c r="D10" s="5"/>
    </row>
    <row r="11" spans="1:5" x14ac:dyDescent="0.3">
      <c r="A11" s="4" t="s">
        <v>9</v>
      </c>
      <c r="B11" s="5">
        <v>33</v>
      </c>
      <c r="C11" s="5">
        <v>7</v>
      </c>
      <c r="D11" s="5"/>
    </row>
    <row r="12" spans="1:5" x14ac:dyDescent="0.3">
      <c r="A12" s="4" t="s">
        <v>10</v>
      </c>
      <c r="B12" s="5">
        <v>349</v>
      </c>
      <c r="C12" s="5">
        <v>39</v>
      </c>
      <c r="D12" s="5"/>
    </row>
    <row r="13" spans="1:5" x14ac:dyDescent="0.3">
      <c r="A13" s="4" t="s">
        <v>11</v>
      </c>
      <c r="B13" s="5">
        <v>23</v>
      </c>
      <c r="C13" s="5">
        <v>8</v>
      </c>
      <c r="D13" s="5"/>
    </row>
    <row r="14" spans="1:5" x14ac:dyDescent="0.3">
      <c r="A14" s="4" t="s">
        <v>12</v>
      </c>
      <c r="B14" s="8">
        <v>13</v>
      </c>
      <c r="C14" s="7">
        <v>3</v>
      </c>
      <c r="D14" s="5"/>
    </row>
    <row r="15" spans="1:5" x14ac:dyDescent="0.3">
      <c r="A15" s="4" t="s">
        <v>13</v>
      </c>
      <c r="B15" s="5">
        <v>1</v>
      </c>
      <c r="C15" s="5">
        <v>0</v>
      </c>
      <c r="D15" s="5" t="s">
        <v>231</v>
      </c>
    </row>
    <row r="16" spans="1:5" x14ac:dyDescent="0.3">
      <c r="A16" s="4" t="s">
        <v>14</v>
      </c>
      <c r="B16" s="5">
        <v>9</v>
      </c>
      <c r="C16" s="5">
        <v>0</v>
      </c>
      <c r="D16" s="5"/>
    </row>
    <row r="17" spans="1:2" x14ac:dyDescent="0.3">
      <c r="B17" s="3"/>
    </row>
    <row r="20" spans="1:2" x14ac:dyDescent="0.3">
      <c r="A20" s="1" t="s">
        <v>122</v>
      </c>
    </row>
    <row r="21" spans="1:2" x14ac:dyDescent="0.3">
      <c r="A21" s="33" t="s">
        <v>316</v>
      </c>
    </row>
    <row r="22" spans="1:2" x14ac:dyDescent="0.3">
      <c r="A22" s="33" t="s">
        <v>312</v>
      </c>
    </row>
    <row r="23" spans="1:2" x14ac:dyDescent="0.3">
      <c r="A23" s="34" t="s">
        <v>313</v>
      </c>
    </row>
    <row r="24" spans="1:2" x14ac:dyDescent="0.3">
      <c r="A24" s="35" t="s">
        <v>314</v>
      </c>
    </row>
    <row r="25" spans="1:2" x14ac:dyDescent="0.3">
      <c r="A25" s="33" t="s">
        <v>315</v>
      </c>
    </row>
  </sheetData>
  <mergeCells count="1">
    <mergeCell ref="A1:D1"/>
  </mergeCells>
  <hyperlinks>
    <hyperlink ref="A22" r:id="rId1" xr:uid="{00000000-0004-0000-2200-000000000000}"/>
    <hyperlink ref="A23" r:id="rId2" xr:uid="{00000000-0004-0000-2200-000001000000}"/>
    <hyperlink ref="A24" r:id="rId3" xr:uid="{00000000-0004-0000-2200-000002000000}"/>
    <hyperlink ref="A21" r:id="rId4" xr:uid="{00000000-0004-0000-2200-000003000000}"/>
    <hyperlink ref="A25" r:id="rId5" xr:uid="{00000000-0004-0000-2200-000004000000}"/>
  </hyperlinks>
  <pageMargins left="0.7" right="0.7" top="0.75" bottom="0.75" header="0.3" footer="0.3"/>
  <pageSetup orientation="portrait" r:id="rId6"/>
  <drawing r:id="rId7"/>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P25"/>
  <sheetViews>
    <sheetView zoomScaleNormal="100" workbookViewId="0">
      <selection activeCell="A25" sqref="A25"/>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309</v>
      </c>
      <c r="B1" s="44"/>
      <c r="C1" s="44"/>
      <c r="D1" s="44"/>
      <c r="E1" s="2"/>
    </row>
    <row r="2" spans="1:5" x14ac:dyDescent="0.3">
      <c r="B2" s="9" t="s">
        <v>1</v>
      </c>
      <c r="C2" s="10" t="s">
        <v>0</v>
      </c>
    </row>
    <row r="3" spans="1:5" ht="15" thickBot="1" x14ac:dyDescent="0.35">
      <c r="B3" s="20">
        <f>SUM(B4,B5,B6,B7,B8,B9,B10,B11,B12,B13,B16,B15,B14)</f>
        <v>10319</v>
      </c>
      <c r="C3" s="12">
        <f>SUM(C4,C5,C6,C7,C8,C9,,C10,C11,C12,C13,C16,C15,C14)</f>
        <v>1211</v>
      </c>
    </row>
    <row r="4" spans="1:5" s="5" customFormat="1" x14ac:dyDescent="0.3">
      <c r="A4" s="4" t="s">
        <v>2</v>
      </c>
      <c r="B4" s="5">
        <v>977</v>
      </c>
      <c r="C4" s="5">
        <v>141</v>
      </c>
    </row>
    <row r="5" spans="1:5" x14ac:dyDescent="0.3">
      <c r="A5" s="4" t="s">
        <v>3</v>
      </c>
      <c r="B5" s="30">
        <v>1469</v>
      </c>
      <c r="C5" s="30">
        <v>106</v>
      </c>
      <c r="D5" s="5"/>
    </row>
    <row r="6" spans="1:5" x14ac:dyDescent="0.3">
      <c r="A6" s="4" t="s">
        <v>4</v>
      </c>
      <c r="B6" s="19">
        <v>3535</v>
      </c>
      <c r="C6" s="6">
        <v>607</v>
      </c>
      <c r="D6" s="5"/>
    </row>
    <row r="7" spans="1:5" x14ac:dyDescent="0.3">
      <c r="A7" s="4" t="s">
        <v>5</v>
      </c>
      <c r="B7" s="32">
        <v>3091</v>
      </c>
      <c r="C7" s="5">
        <v>228</v>
      </c>
      <c r="D7" s="5"/>
    </row>
    <row r="8" spans="1:5" s="15" customFormat="1" x14ac:dyDescent="0.3">
      <c r="A8" s="14" t="s">
        <v>6</v>
      </c>
      <c r="B8" s="6">
        <v>88</v>
      </c>
      <c r="C8" s="6">
        <v>15</v>
      </c>
      <c r="D8" s="5"/>
    </row>
    <row r="9" spans="1:5" x14ac:dyDescent="0.3">
      <c r="A9" s="4" t="s">
        <v>7</v>
      </c>
      <c r="B9" s="5">
        <v>135</v>
      </c>
      <c r="C9" s="5">
        <v>16</v>
      </c>
      <c r="D9" s="5"/>
    </row>
    <row r="10" spans="1:5" x14ac:dyDescent="0.3">
      <c r="A10" s="4" t="s">
        <v>8</v>
      </c>
      <c r="B10" s="5">
        <v>606</v>
      </c>
      <c r="C10" s="5">
        <v>46</v>
      </c>
      <c r="D10" s="5"/>
    </row>
    <row r="11" spans="1:5" x14ac:dyDescent="0.3">
      <c r="A11" s="4" t="s">
        <v>9</v>
      </c>
      <c r="B11" s="5">
        <v>33</v>
      </c>
      <c r="C11" s="5">
        <v>7</v>
      </c>
      <c r="D11" s="5"/>
    </row>
    <row r="12" spans="1:5" x14ac:dyDescent="0.3">
      <c r="A12" s="4" t="s">
        <v>10</v>
      </c>
      <c r="B12" s="5">
        <v>342</v>
      </c>
      <c r="C12" s="5">
        <v>34</v>
      </c>
      <c r="D12" s="5"/>
    </row>
    <row r="13" spans="1:5" x14ac:dyDescent="0.3">
      <c r="A13" s="4" t="s">
        <v>11</v>
      </c>
      <c r="B13" s="5">
        <v>20</v>
      </c>
      <c r="C13" s="5">
        <v>8</v>
      </c>
      <c r="D13" s="5"/>
    </row>
    <row r="14" spans="1:5" x14ac:dyDescent="0.3">
      <c r="A14" s="4" t="s">
        <v>12</v>
      </c>
      <c r="B14" s="8">
        <v>13</v>
      </c>
      <c r="C14" s="7">
        <v>3</v>
      </c>
      <c r="D14" s="5"/>
    </row>
    <row r="15" spans="1:5" x14ac:dyDescent="0.3">
      <c r="A15" s="4" t="s">
        <v>13</v>
      </c>
      <c r="B15" s="5">
        <v>1</v>
      </c>
      <c r="C15" s="5">
        <v>0</v>
      </c>
      <c r="D15" s="5" t="s">
        <v>231</v>
      </c>
    </row>
    <row r="16" spans="1:5" x14ac:dyDescent="0.3">
      <c r="A16" s="4" t="s">
        <v>14</v>
      </c>
      <c r="B16" s="5">
        <v>9</v>
      </c>
      <c r="C16" s="5">
        <v>0</v>
      </c>
      <c r="D16" s="5"/>
    </row>
    <row r="17" spans="1:2" x14ac:dyDescent="0.3">
      <c r="B17" s="3"/>
    </row>
    <row r="20" spans="1:2" x14ac:dyDescent="0.3">
      <c r="A20" s="1" t="s">
        <v>122</v>
      </c>
    </row>
    <row r="21" spans="1:2" x14ac:dyDescent="0.3">
      <c r="A21" s="33" t="s">
        <v>311</v>
      </c>
    </row>
    <row r="22" spans="1:2" x14ac:dyDescent="0.3">
      <c r="A22" s="33" t="s">
        <v>312</v>
      </c>
    </row>
    <row r="23" spans="1:2" x14ac:dyDescent="0.3">
      <c r="A23" s="34" t="s">
        <v>313</v>
      </c>
    </row>
    <row r="24" spans="1:2" x14ac:dyDescent="0.3">
      <c r="A24" s="35" t="s">
        <v>314</v>
      </c>
    </row>
    <row r="25" spans="1:2" x14ac:dyDescent="0.3">
      <c r="A25" s="33" t="s">
        <v>310</v>
      </c>
    </row>
  </sheetData>
  <mergeCells count="1">
    <mergeCell ref="A1:D1"/>
  </mergeCells>
  <hyperlinks>
    <hyperlink ref="A22" r:id="rId1" xr:uid="{00000000-0004-0000-2300-000000000000}"/>
    <hyperlink ref="A23" r:id="rId2" xr:uid="{00000000-0004-0000-2300-000001000000}"/>
    <hyperlink ref="A24" r:id="rId3" xr:uid="{00000000-0004-0000-2300-000002000000}"/>
    <hyperlink ref="A21" r:id="rId4" xr:uid="{00000000-0004-0000-2300-000003000000}"/>
    <hyperlink ref="A25" r:id="rId5" xr:uid="{00000000-0004-0000-2300-000004000000}"/>
  </hyperlinks>
  <pageMargins left="0.7" right="0.7" top="0.75" bottom="0.75" header="0.3" footer="0.3"/>
  <pageSetup orientation="portrait" r:id="rId6"/>
  <drawing r:id="rId7"/>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P25"/>
  <sheetViews>
    <sheetView zoomScaleNormal="100" workbookViewId="0">
      <selection activeCell="A24" sqref="A2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308</v>
      </c>
      <c r="B1" s="44"/>
      <c r="C1" s="44"/>
      <c r="D1" s="44"/>
      <c r="E1" s="2"/>
    </row>
    <row r="2" spans="1:5" x14ac:dyDescent="0.3">
      <c r="B2" s="9" t="s">
        <v>1</v>
      </c>
      <c r="C2" s="10" t="s">
        <v>0</v>
      </c>
    </row>
    <row r="3" spans="1:5" ht="15" thickBot="1" x14ac:dyDescent="0.35">
      <c r="B3" s="20">
        <f>SUM(B4,B5,B6,B7,B8,B9,B10,B11,B12,B13,B16,B15,B14)</f>
        <v>10863</v>
      </c>
      <c r="C3" s="12">
        <f>SUM(C4,C5,C6,C7,C8,C9,,C10,C11,C12,C13,C16,C15,C14)</f>
        <v>1230</v>
      </c>
    </row>
    <row r="4" spans="1:5" s="5" customFormat="1" x14ac:dyDescent="0.3">
      <c r="A4" s="4" t="s">
        <v>2</v>
      </c>
      <c r="B4" s="5">
        <v>930</v>
      </c>
      <c r="C4" s="5">
        <v>144</v>
      </c>
    </row>
    <row r="5" spans="1:5" x14ac:dyDescent="0.3">
      <c r="A5" s="4" t="s">
        <v>3</v>
      </c>
      <c r="B5" s="30">
        <v>1377</v>
      </c>
      <c r="C5" s="30">
        <v>111</v>
      </c>
      <c r="D5" s="5"/>
    </row>
    <row r="6" spans="1:5" x14ac:dyDescent="0.3">
      <c r="A6" s="4" t="s">
        <v>4</v>
      </c>
      <c r="B6" s="19">
        <v>4016</v>
      </c>
      <c r="C6" s="6">
        <v>608</v>
      </c>
      <c r="D6" s="5"/>
    </row>
    <row r="7" spans="1:5" x14ac:dyDescent="0.3">
      <c r="A7" s="4" t="s">
        <v>5</v>
      </c>
      <c r="B7" s="32">
        <v>3270</v>
      </c>
      <c r="C7" s="5">
        <v>252</v>
      </c>
      <c r="D7" s="5"/>
    </row>
    <row r="8" spans="1:5" s="15" customFormat="1" x14ac:dyDescent="0.3">
      <c r="A8" s="14" t="s">
        <v>6</v>
      </c>
      <c r="B8" s="6">
        <v>91</v>
      </c>
      <c r="C8" s="6">
        <v>15</v>
      </c>
      <c r="D8" s="5"/>
    </row>
    <row r="9" spans="1:5" x14ac:dyDescent="0.3">
      <c r="A9" s="4" t="s">
        <v>7</v>
      </c>
      <c r="B9" s="5">
        <v>137</v>
      </c>
      <c r="C9" s="5">
        <v>8</v>
      </c>
      <c r="D9" s="5"/>
    </row>
    <row r="10" spans="1:5" x14ac:dyDescent="0.3">
      <c r="A10" s="4" t="s">
        <v>8</v>
      </c>
      <c r="B10" s="5">
        <v>655</v>
      </c>
      <c r="C10" s="5">
        <v>44</v>
      </c>
      <c r="D10" s="5"/>
    </row>
    <row r="11" spans="1:5" x14ac:dyDescent="0.3">
      <c r="A11" s="4" t="s">
        <v>9</v>
      </c>
      <c r="B11" s="5">
        <v>31</v>
      </c>
      <c r="C11" s="5">
        <v>7</v>
      </c>
      <c r="D11" s="5"/>
    </row>
    <row r="12" spans="1:5" x14ac:dyDescent="0.3">
      <c r="A12" s="4" t="s">
        <v>10</v>
      </c>
      <c r="B12" s="5">
        <v>315</v>
      </c>
      <c r="C12" s="5">
        <v>33</v>
      </c>
      <c r="D12" s="5"/>
    </row>
    <row r="13" spans="1:5" x14ac:dyDescent="0.3">
      <c r="A13" s="4" t="s">
        <v>11</v>
      </c>
      <c r="B13" s="5">
        <v>20</v>
      </c>
      <c r="C13" s="5">
        <v>5</v>
      </c>
      <c r="D13" s="5"/>
    </row>
    <row r="14" spans="1:5" x14ac:dyDescent="0.3">
      <c r="A14" s="4" t="s">
        <v>12</v>
      </c>
      <c r="B14" s="8">
        <v>11</v>
      </c>
      <c r="C14" s="7">
        <v>3</v>
      </c>
      <c r="D14" s="5"/>
    </row>
    <row r="15" spans="1:5" x14ac:dyDescent="0.3">
      <c r="A15" s="4" t="s">
        <v>13</v>
      </c>
      <c r="B15" s="5">
        <v>1</v>
      </c>
      <c r="C15" s="5">
        <v>0</v>
      </c>
      <c r="D15" s="5" t="s">
        <v>231</v>
      </c>
    </row>
    <row r="16" spans="1:5" x14ac:dyDescent="0.3">
      <c r="A16" s="4" t="s">
        <v>14</v>
      </c>
      <c r="B16" s="5">
        <v>9</v>
      </c>
      <c r="C16" s="5">
        <v>0</v>
      </c>
      <c r="D16" s="5"/>
    </row>
    <row r="17" spans="1:2" x14ac:dyDescent="0.3">
      <c r="B17" s="3"/>
    </row>
    <row r="20" spans="1:2" x14ac:dyDescent="0.3">
      <c r="A20" s="1" t="s">
        <v>122</v>
      </c>
    </row>
    <row r="21" spans="1:2" x14ac:dyDescent="0.3">
      <c r="A21" s="33" t="s">
        <v>304</v>
      </c>
    </row>
    <row r="22" spans="1:2" x14ac:dyDescent="0.3">
      <c r="A22" s="33" t="s">
        <v>305</v>
      </c>
    </row>
    <row r="23" spans="1:2" x14ac:dyDescent="0.3">
      <c r="A23" s="34" t="s">
        <v>313</v>
      </c>
    </row>
    <row r="24" spans="1:2" x14ac:dyDescent="0.3">
      <c r="A24" s="35" t="s">
        <v>307</v>
      </c>
    </row>
    <row r="25" spans="1:2" x14ac:dyDescent="0.3">
      <c r="A25" s="33" t="s">
        <v>306</v>
      </c>
    </row>
  </sheetData>
  <mergeCells count="1">
    <mergeCell ref="A1:D1"/>
  </mergeCells>
  <hyperlinks>
    <hyperlink ref="A22" r:id="rId1" display="*** NT's official website does not disclose the number of current hospitalizations, but according to the press it was 9 as of January 21st." xr:uid="{00000000-0004-0000-2400-000000000000}"/>
    <hyperlink ref="A23" r:id="rId2" display="**** YT's official website does not disclose the number of current hospitalizations, but according to the press it was 1 as of January 25th." xr:uid="{00000000-0004-0000-2400-000001000000}"/>
    <hyperlink ref="A24" r:id="rId3" xr:uid="{00000000-0004-0000-2400-000002000000}"/>
    <hyperlink ref="A21" r:id="rId4" xr:uid="{00000000-0004-0000-2400-000003000000}"/>
    <hyperlink ref="A25" r:id="rId5" xr:uid="{00000000-0004-0000-2400-000004000000}"/>
  </hyperlinks>
  <pageMargins left="0.7" right="0.7" top="0.75" bottom="0.75" header="0.3" footer="0.3"/>
  <pageSetup orientation="portrait" r:id="rId6"/>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99A47-A91F-4A5C-B96E-DF98E93C5DB2}">
  <dimension ref="A1:I27"/>
  <sheetViews>
    <sheetView topLeftCell="A3" zoomScaleNormal="100" workbookViewId="0">
      <selection activeCell="A27" sqref="A27"/>
    </sheetView>
  </sheetViews>
  <sheetFormatPr defaultColWidth="8.6640625" defaultRowHeight="14.4" x14ac:dyDescent="0.3"/>
  <cols>
    <col min="2" max="2" width="13.33203125" style="43" customWidth="1"/>
    <col min="3" max="3" width="12.77734375" customWidth="1"/>
    <col min="4" max="4" width="17.6640625" customWidth="1"/>
    <col min="5" max="14" width="12.77734375" customWidth="1"/>
    <col min="15" max="16" width="13.33203125" customWidth="1"/>
  </cols>
  <sheetData>
    <row r="1" spans="1:5" ht="15" thickBot="1" x14ac:dyDescent="0.35">
      <c r="A1" s="45" t="s">
        <v>522</v>
      </c>
      <c r="B1" s="45"/>
      <c r="C1" s="45"/>
      <c r="D1" s="45"/>
      <c r="E1" s="37"/>
    </row>
    <row r="2" spans="1:5" x14ac:dyDescent="0.3">
      <c r="B2" s="9" t="s">
        <v>1</v>
      </c>
      <c r="C2" s="10" t="s">
        <v>0</v>
      </c>
    </row>
    <row r="3" spans="1:5" ht="15" thickBot="1" x14ac:dyDescent="0.35">
      <c r="B3" s="20">
        <f>SUM(B4,B5,B6,B7,B8,B9,B10,B11,B12,B13,B16,B15,B14)</f>
        <v>4945</v>
      </c>
      <c r="C3" s="12">
        <f>SUM(C4,C5,C6,C7,C8,C9,,C10,C11,C12,C13,C16,C15,C14)</f>
        <v>263</v>
      </c>
    </row>
    <row r="4" spans="1:5" s="40" customFormat="1" x14ac:dyDescent="0.3">
      <c r="A4" s="38" t="s">
        <v>2</v>
      </c>
      <c r="B4" s="39">
        <v>406</v>
      </c>
      <c r="C4" s="40">
        <v>30</v>
      </c>
    </row>
    <row r="5" spans="1:5" x14ac:dyDescent="0.3">
      <c r="A5" s="38" t="s">
        <v>3</v>
      </c>
      <c r="B5" s="40">
        <v>559</v>
      </c>
      <c r="C5" s="40">
        <v>23</v>
      </c>
      <c r="D5" s="40"/>
    </row>
    <row r="6" spans="1:5" x14ac:dyDescent="0.3">
      <c r="A6" s="38" t="s">
        <v>4</v>
      </c>
      <c r="B6" s="41">
        <v>1483</v>
      </c>
      <c r="C6" s="39">
        <v>126</v>
      </c>
      <c r="D6" s="40"/>
    </row>
    <row r="7" spans="1:5" x14ac:dyDescent="0.3">
      <c r="A7" s="38" t="s">
        <v>5</v>
      </c>
      <c r="B7" s="42">
        <v>2088</v>
      </c>
      <c r="C7" s="40">
        <v>54</v>
      </c>
      <c r="D7" s="40"/>
    </row>
    <row r="8" spans="1:5" x14ac:dyDescent="0.3">
      <c r="A8" s="38" t="s">
        <v>6</v>
      </c>
      <c r="B8" s="39">
        <v>44</v>
      </c>
      <c r="C8" s="39">
        <v>8</v>
      </c>
      <c r="D8" s="40"/>
    </row>
    <row r="9" spans="1:5" x14ac:dyDescent="0.3">
      <c r="A9" s="38" t="s">
        <v>7</v>
      </c>
      <c r="B9" s="40">
        <v>22</v>
      </c>
      <c r="C9" s="40">
        <v>1</v>
      </c>
      <c r="D9" s="40"/>
    </row>
    <row r="10" spans="1:5" x14ac:dyDescent="0.3">
      <c r="A10" s="38" t="s">
        <v>8</v>
      </c>
      <c r="B10" s="40">
        <v>52</v>
      </c>
      <c r="C10" s="40">
        <v>2</v>
      </c>
      <c r="D10" s="40"/>
    </row>
    <row r="11" spans="1:5" x14ac:dyDescent="0.3">
      <c r="A11" s="38" t="s">
        <v>9</v>
      </c>
      <c r="B11" s="40">
        <v>41</v>
      </c>
      <c r="C11" s="40">
        <v>1</v>
      </c>
      <c r="D11" s="40"/>
    </row>
    <row r="12" spans="1:5" x14ac:dyDescent="0.3">
      <c r="A12" s="38" t="s">
        <v>10</v>
      </c>
      <c r="B12" s="40">
        <v>229</v>
      </c>
      <c r="C12" s="40">
        <v>15</v>
      </c>
      <c r="D12" s="40"/>
    </row>
    <row r="13" spans="1:5" x14ac:dyDescent="0.3">
      <c r="A13" s="38" t="s">
        <v>11</v>
      </c>
      <c r="B13" s="40">
        <v>14</v>
      </c>
      <c r="C13" s="40">
        <v>3</v>
      </c>
      <c r="D13" s="40"/>
    </row>
    <row r="14" spans="1:5" x14ac:dyDescent="0.3">
      <c r="A14" s="38" t="s">
        <v>12</v>
      </c>
      <c r="B14" s="43">
        <v>0</v>
      </c>
      <c r="C14" s="40">
        <v>0</v>
      </c>
      <c r="D14" s="40"/>
    </row>
    <row r="15" spans="1:5" x14ac:dyDescent="0.3">
      <c r="A15" s="38" t="s">
        <v>13</v>
      </c>
      <c r="B15" s="40">
        <v>7</v>
      </c>
      <c r="C15" s="40">
        <v>0</v>
      </c>
      <c r="D15" s="40" t="s">
        <v>231</v>
      </c>
    </row>
    <row r="16" spans="1:5" x14ac:dyDescent="0.3">
      <c r="A16" s="38" t="s">
        <v>14</v>
      </c>
      <c r="B16" s="40">
        <v>0</v>
      </c>
      <c r="C16" s="40">
        <v>0</v>
      </c>
      <c r="D16" s="40"/>
    </row>
    <row r="17" spans="1:9" x14ac:dyDescent="0.3">
      <c r="B17"/>
    </row>
    <row r="20" spans="1:9" x14ac:dyDescent="0.3">
      <c r="A20" t="s">
        <v>122</v>
      </c>
    </row>
    <row r="21" spans="1:9" x14ac:dyDescent="0.3">
      <c r="A21" s="33" t="s">
        <v>509</v>
      </c>
    </row>
    <row r="22" spans="1:9" x14ac:dyDescent="0.3">
      <c r="A22" s="34" t="s">
        <v>521</v>
      </c>
    </row>
    <row r="23" spans="1:9" x14ac:dyDescent="0.3">
      <c r="A23" s="35" t="s">
        <v>471</v>
      </c>
    </row>
    <row r="24" spans="1:9" x14ac:dyDescent="0.3">
      <c r="A24" s="33" t="s">
        <v>518</v>
      </c>
    </row>
    <row r="25" spans="1:9" x14ac:dyDescent="0.3">
      <c r="A25" s="36" t="s">
        <v>519</v>
      </c>
    </row>
    <row r="26" spans="1:9" x14ac:dyDescent="0.3">
      <c r="A26" s="33" t="s">
        <v>520</v>
      </c>
      <c r="I26" t="s">
        <v>414</v>
      </c>
    </row>
    <row r="27" spans="1:9" x14ac:dyDescent="0.3">
      <c r="A27" s="33" t="s">
        <v>517</v>
      </c>
    </row>
  </sheetData>
  <mergeCells count="1">
    <mergeCell ref="A1:D1"/>
  </mergeCells>
  <hyperlinks>
    <hyperlink ref="A21" r:id="rId1" display="** NT's official website does not disclose the number of current hospitalizations, but according to a news article, NWT's Chief Public Health Officer Dr. Kami Kandolato informed that 'in the last five weeks, there's only been two hospitalizations. Those patients recovered and there have been no ICU admissions, and no deaths related to COVID-19 since late March.'" xr:uid="{4C6C4829-3DB5-45B5-BFEB-82A85B4770C1}"/>
    <hyperlink ref="A22" r:id="rId2" display="**** YT's official website is now informing the number of hospitalizations, which is 2 as of March 7th." xr:uid="{24DD6FA4-4030-4931-B350-C19601B0244A}"/>
    <hyperlink ref="A23" r:id="rId3" xr:uid="{C991BBAE-110D-4BA3-9919-56B4FF6AC41B}"/>
    <hyperlink ref="A24" r:id="rId4" display="*****NB's latest official report only informs the number of patients admitted for Covid-19, not including the number of patients that were admitted for other reasons and tested positive for Covid-19 later on." xr:uid="{24542E50-0928-4028-9F58-89D09B30329A}"/>
    <hyperlink ref="A26" r:id="rId5" display="*******SK's information was extracted from the latest official report from May 25th, covering the week of May 15th-21st." xr:uid="{F3A21917-DFEF-4EC7-B96B-549D4E66AE7D}"/>
    <hyperlink ref="A25" r:id="rId6" display="******MB's official website is no longer doing daily reporting. The information was extracted from the latest offical report from May 10th. Note that these are the numbers of new hospitalizations and ICU admissions for the May 1st-7th week. The numbers of" xr:uid="{9BEBA74E-BF27-40F6-8C51-BE1030189B66}"/>
    <hyperlink ref="A27" r:id="rId7" xr:uid="{8F16A84C-9F0E-4AE6-9CB5-7514FEA27485}"/>
  </hyperlinks>
  <pageMargins left="0.7" right="0.7" top="0.75" bottom="0.75" header="0.3" footer="0.3"/>
  <pageSetup orientation="portrait" r:id="rId8"/>
  <drawing r:id="rId9"/>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P25"/>
  <sheetViews>
    <sheetView zoomScaleNormal="100" workbookViewId="0">
      <selection activeCell="A22" sqref="A22"/>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303</v>
      </c>
      <c r="B1" s="44"/>
      <c r="C1" s="44"/>
      <c r="D1" s="44"/>
      <c r="E1" s="2"/>
    </row>
    <row r="2" spans="1:5" x14ac:dyDescent="0.3">
      <c r="B2" s="9" t="s">
        <v>1</v>
      </c>
      <c r="C2" s="10" t="s">
        <v>0</v>
      </c>
    </row>
    <row r="3" spans="1:5" ht="15" thickBot="1" x14ac:dyDescent="0.35">
      <c r="B3" s="20">
        <f>SUM(B4,B5,B6,B7,B8,B9,B10,B11,B12,B13,B16,B15,B14)</f>
        <v>10392</v>
      </c>
      <c r="C3" s="12">
        <f>SUM(C4,C5,C6,C7,C8,C9,,C10,C11,C12,C13,C16,C15,C14)</f>
        <v>1214</v>
      </c>
    </row>
    <row r="4" spans="1:5" s="5" customFormat="1" x14ac:dyDescent="0.3">
      <c r="A4" s="4" t="s">
        <v>2</v>
      </c>
      <c r="B4" s="5">
        <v>924</v>
      </c>
      <c r="C4" s="5">
        <v>130</v>
      </c>
    </row>
    <row r="5" spans="1:5" x14ac:dyDescent="0.3">
      <c r="A5" s="4" t="s">
        <v>3</v>
      </c>
      <c r="B5" s="30">
        <v>1191</v>
      </c>
      <c r="C5" s="30">
        <v>107</v>
      </c>
      <c r="D5" s="5"/>
    </row>
    <row r="6" spans="1:5" x14ac:dyDescent="0.3">
      <c r="A6" s="4" t="s">
        <v>4</v>
      </c>
      <c r="B6" s="19">
        <v>3861</v>
      </c>
      <c r="C6" s="6">
        <v>615</v>
      </c>
      <c r="D6" s="5"/>
    </row>
    <row r="7" spans="1:5" x14ac:dyDescent="0.3">
      <c r="A7" s="4" t="s">
        <v>5</v>
      </c>
      <c r="B7" s="32">
        <v>3299</v>
      </c>
      <c r="C7" s="5">
        <v>263</v>
      </c>
      <c r="D7" s="5"/>
    </row>
    <row r="8" spans="1:5" s="15" customFormat="1" x14ac:dyDescent="0.3">
      <c r="A8" s="14" t="s">
        <v>6</v>
      </c>
      <c r="B8" s="6">
        <v>94</v>
      </c>
      <c r="C8" s="6">
        <v>13</v>
      </c>
      <c r="D8" s="5"/>
    </row>
    <row r="9" spans="1:5" x14ac:dyDescent="0.3">
      <c r="A9" s="4" t="s">
        <v>7</v>
      </c>
      <c r="B9" s="5">
        <v>126</v>
      </c>
      <c r="C9" s="5">
        <v>10</v>
      </c>
      <c r="D9" s="5"/>
    </row>
    <row r="10" spans="1:5" x14ac:dyDescent="0.3">
      <c r="A10" s="4" t="s">
        <v>8</v>
      </c>
      <c r="B10" s="5">
        <v>586</v>
      </c>
      <c r="C10" s="5">
        <v>44</v>
      </c>
      <c r="D10" s="5"/>
    </row>
    <row r="11" spans="1:5" x14ac:dyDescent="0.3">
      <c r="A11" s="4" t="s">
        <v>9</v>
      </c>
      <c r="B11" s="5">
        <v>21</v>
      </c>
      <c r="C11" s="5">
        <v>5</v>
      </c>
      <c r="D11" s="5"/>
    </row>
    <row r="12" spans="1:5" x14ac:dyDescent="0.3">
      <c r="A12" s="4" t="s">
        <v>10</v>
      </c>
      <c r="B12" s="5">
        <v>252</v>
      </c>
      <c r="C12" s="5">
        <v>26</v>
      </c>
      <c r="D12" s="5"/>
    </row>
    <row r="13" spans="1:5" x14ac:dyDescent="0.3">
      <c r="A13" s="4" t="s">
        <v>11</v>
      </c>
      <c r="B13" s="5">
        <v>19</v>
      </c>
      <c r="C13" s="5">
        <v>0</v>
      </c>
      <c r="D13" s="5"/>
    </row>
    <row r="14" spans="1:5" x14ac:dyDescent="0.3">
      <c r="A14" s="4" t="s">
        <v>12</v>
      </c>
      <c r="B14" s="8">
        <v>9</v>
      </c>
      <c r="C14" s="7">
        <v>1</v>
      </c>
      <c r="D14" s="5"/>
    </row>
    <row r="15" spans="1:5" x14ac:dyDescent="0.3">
      <c r="A15" s="4" t="s">
        <v>13</v>
      </c>
      <c r="B15" s="5">
        <v>0</v>
      </c>
      <c r="C15" s="5">
        <v>0</v>
      </c>
      <c r="D15" s="5" t="s">
        <v>231</v>
      </c>
    </row>
    <row r="16" spans="1:5" x14ac:dyDescent="0.3">
      <c r="A16" s="4" t="s">
        <v>14</v>
      </c>
      <c r="B16" s="5">
        <v>10</v>
      </c>
      <c r="C16" s="5">
        <v>0</v>
      </c>
      <c r="D16" s="5"/>
    </row>
    <row r="17" spans="1:2" x14ac:dyDescent="0.3">
      <c r="B17" s="3"/>
    </row>
    <row r="20" spans="1:2" x14ac:dyDescent="0.3">
      <c r="A20" s="1" t="s">
        <v>122</v>
      </c>
    </row>
    <row r="21" spans="1:2" x14ac:dyDescent="0.3">
      <c r="A21" s="33" t="s">
        <v>288</v>
      </c>
    </row>
    <row r="22" spans="1:2" x14ac:dyDescent="0.3">
      <c r="A22" s="33" t="s">
        <v>302</v>
      </c>
    </row>
    <row r="23" spans="1:2" x14ac:dyDescent="0.3">
      <c r="A23" s="34" t="s">
        <v>297</v>
      </c>
    </row>
    <row r="24" spans="1:2" x14ac:dyDescent="0.3">
      <c r="A24" s="35" t="s">
        <v>298</v>
      </c>
    </row>
    <row r="25" spans="1:2" x14ac:dyDescent="0.3">
      <c r="A25" s="33" t="s">
        <v>301</v>
      </c>
    </row>
  </sheetData>
  <mergeCells count="1">
    <mergeCell ref="A1:D1"/>
  </mergeCells>
  <hyperlinks>
    <hyperlink ref="A22" r:id="rId1" xr:uid="{00000000-0004-0000-2500-000000000000}"/>
    <hyperlink ref="A23" r:id="rId2" xr:uid="{00000000-0004-0000-2500-000001000000}"/>
    <hyperlink ref="A24" r:id="rId3" xr:uid="{00000000-0004-0000-2500-000002000000}"/>
    <hyperlink ref="A21" r:id="rId4" xr:uid="{00000000-0004-0000-2500-000003000000}"/>
    <hyperlink ref="A25" r:id="rId5" xr:uid="{00000000-0004-0000-2500-000004000000}"/>
  </hyperlinks>
  <pageMargins left="0.7" right="0.7" top="0.75" bottom="0.75" header="0.3" footer="0.3"/>
  <pageSetup orientation="portrait" r:id="rId6"/>
  <drawing r:id="rId7"/>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P25"/>
  <sheetViews>
    <sheetView zoomScaleNormal="100" workbookViewId="0">
      <selection sqref="A1:D1"/>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300</v>
      </c>
      <c r="B1" s="44"/>
      <c r="C1" s="44"/>
      <c r="D1" s="44"/>
      <c r="E1" s="2"/>
    </row>
    <row r="2" spans="1:5" x14ac:dyDescent="0.3">
      <c r="B2" s="9" t="s">
        <v>1</v>
      </c>
      <c r="C2" s="10" t="s">
        <v>0</v>
      </c>
    </row>
    <row r="3" spans="1:5" ht="15" thickBot="1" x14ac:dyDescent="0.35">
      <c r="B3" s="20">
        <f>SUM(B4,B5,B6,B7,B8,B9,B10,B11,B12,B13,B16,B15,B14)</f>
        <v>10563</v>
      </c>
      <c r="C3" s="12">
        <f>SUM(C4,C5,C6,C7,C8,C9,,C10,C11,C12,C13,C16,C15,C14)</f>
        <v>1177</v>
      </c>
    </row>
    <row r="4" spans="1:5" s="5" customFormat="1" x14ac:dyDescent="0.3">
      <c r="A4" s="4" t="s">
        <v>2</v>
      </c>
      <c r="B4" s="5">
        <v>891</v>
      </c>
      <c r="C4" s="5">
        <v>115</v>
      </c>
    </row>
    <row r="5" spans="1:5" x14ac:dyDescent="0.3">
      <c r="A5" s="4" t="s">
        <v>3</v>
      </c>
      <c r="B5" s="30">
        <v>1131</v>
      </c>
      <c r="C5" s="30">
        <v>108</v>
      </c>
      <c r="D5" s="5"/>
    </row>
    <row r="6" spans="1:5" x14ac:dyDescent="0.3">
      <c r="A6" s="4" t="s">
        <v>4</v>
      </c>
      <c r="B6" s="19">
        <v>4114</v>
      </c>
      <c r="C6" s="6">
        <v>590</v>
      </c>
      <c r="D6" s="5"/>
    </row>
    <row r="7" spans="1:5" x14ac:dyDescent="0.3">
      <c r="A7" s="4" t="s">
        <v>5</v>
      </c>
      <c r="B7" s="32">
        <v>3351</v>
      </c>
      <c r="C7" s="5">
        <v>265</v>
      </c>
      <c r="D7" s="5"/>
    </row>
    <row r="8" spans="1:5" s="15" customFormat="1" x14ac:dyDescent="0.3">
      <c r="A8" s="14" t="s">
        <v>6</v>
      </c>
      <c r="B8" s="6">
        <v>94</v>
      </c>
      <c r="C8" s="6">
        <v>13</v>
      </c>
      <c r="D8" s="5"/>
    </row>
    <row r="9" spans="1:5" x14ac:dyDescent="0.3">
      <c r="A9" s="4" t="s">
        <v>7</v>
      </c>
      <c r="B9" s="5">
        <v>124</v>
      </c>
      <c r="C9" s="5">
        <v>12</v>
      </c>
      <c r="D9" s="5"/>
    </row>
    <row r="10" spans="1:5" x14ac:dyDescent="0.3">
      <c r="A10" s="4" t="s">
        <v>8</v>
      </c>
      <c r="B10" s="5">
        <v>586</v>
      </c>
      <c r="C10" s="5">
        <v>44</v>
      </c>
      <c r="D10" s="5"/>
    </row>
    <row r="11" spans="1:5" x14ac:dyDescent="0.3">
      <c r="A11" s="4" t="s">
        <v>9</v>
      </c>
      <c r="B11" s="5">
        <v>20</v>
      </c>
      <c r="C11" s="5">
        <v>5</v>
      </c>
      <c r="D11" s="5"/>
    </row>
    <row r="12" spans="1:5" x14ac:dyDescent="0.3">
      <c r="A12" s="4" t="s">
        <v>10</v>
      </c>
      <c r="B12" s="5">
        <v>215</v>
      </c>
      <c r="C12" s="5">
        <v>23</v>
      </c>
      <c r="D12" s="5"/>
    </row>
    <row r="13" spans="1:5" x14ac:dyDescent="0.3">
      <c r="A13" s="4" t="s">
        <v>11</v>
      </c>
      <c r="B13" s="5">
        <v>18</v>
      </c>
      <c r="C13" s="5">
        <v>1</v>
      </c>
      <c r="D13" s="5"/>
    </row>
    <row r="14" spans="1:5" x14ac:dyDescent="0.3">
      <c r="A14" s="4" t="s">
        <v>12</v>
      </c>
      <c r="B14" s="8">
        <v>9</v>
      </c>
      <c r="C14" s="7">
        <v>1</v>
      </c>
      <c r="D14" s="5"/>
    </row>
    <row r="15" spans="1:5" x14ac:dyDescent="0.3">
      <c r="A15" s="4" t="s">
        <v>13</v>
      </c>
      <c r="B15" s="5">
        <v>0</v>
      </c>
      <c r="C15" s="5">
        <v>0</v>
      </c>
      <c r="D15" s="5" t="s">
        <v>231</v>
      </c>
    </row>
    <row r="16" spans="1:5" x14ac:dyDescent="0.3">
      <c r="A16" s="4" t="s">
        <v>14</v>
      </c>
      <c r="B16" s="5">
        <v>10</v>
      </c>
      <c r="C16" s="5">
        <v>0</v>
      </c>
      <c r="D16" s="5"/>
    </row>
    <row r="17" spans="1:2" x14ac:dyDescent="0.3">
      <c r="B17" s="3"/>
    </row>
    <row r="20" spans="1:2" x14ac:dyDescent="0.3">
      <c r="A20" s="1" t="s">
        <v>122</v>
      </c>
    </row>
    <row r="21" spans="1:2" x14ac:dyDescent="0.3">
      <c r="A21" s="33" t="s">
        <v>296</v>
      </c>
    </row>
    <row r="22" spans="1:2" x14ac:dyDescent="0.3">
      <c r="A22" s="33" t="s">
        <v>295</v>
      </c>
    </row>
    <row r="23" spans="1:2" x14ac:dyDescent="0.3">
      <c r="A23" s="34" t="s">
        <v>297</v>
      </c>
    </row>
    <row r="24" spans="1:2" x14ac:dyDescent="0.3">
      <c r="A24" s="35" t="s">
        <v>298</v>
      </c>
    </row>
    <row r="25" spans="1:2" x14ac:dyDescent="0.3">
      <c r="A25" s="33" t="s">
        <v>299</v>
      </c>
    </row>
  </sheetData>
  <mergeCells count="1">
    <mergeCell ref="A1:D1"/>
  </mergeCells>
  <hyperlinks>
    <hyperlink ref="A22" r:id="rId1" xr:uid="{00000000-0004-0000-2600-000000000000}"/>
    <hyperlink ref="A23" r:id="rId2" xr:uid="{00000000-0004-0000-2600-000001000000}"/>
    <hyperlink ref="A24" r:id="rId3" xr:uid="{00000000-0004-0000-2600-000002000000}"/>
    <hyperlink ref="A21" r:id="rId4" xr:uid="{00000000-0004-0000-2600-000003000000}"/>
    <hyperlink ref="A25" r:id="rId5" xr:uid="{00000000-0004-0000-2600-000004000000}"/>
  </hyperlinks>
  <pageMargins left="0.7" right="0.7" top="0.75" bottom="0.75" header="0.3" footer="0.3"/>
  <pageSetup orientation="portrait" r:id="rId6"/>
  <drawing r:id="rId7"/>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P25"/>
  <sheetViews>
    <sheetView zoomScaleNormal="100" workbookViewId="0">
      <selection activeCell="A26" sqref="A26"/>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293</v>
      </c>
      <c r="B1" s="44"/>
      <c r="C1" s="44"/>
      <c r="D1" s="44"/>
      <c r="E1" s="2"/>
    </row>
    <row r="2" spans="1:5" x14ac:dyDescent="0.3">
      <c r="B2" s="9" t="s">
        <v>1</v>
      </c>
      <c r="C2" s="10" t="s">
        <v>0</v>
      </c>
    </row>
    <row r="3" spans="1:5" ht="15" thickBot="1" x14ac:dyDescent="0.35">
      <c r="B3" s="20">
        <f>SUM(B4,B5,B6,B7,B8,B9,B10,B11,B12,B13,B16,B15,B14)</f>
        <v>10557</v>
      </c>
      <c r="C3" s="12">
        <f>SUM(C4,C5,C6,C7,C8,C9,,C10,C11,C12,C13,C16,C15,C14)</f>
        <v>1191</v>
      </c>
    </row>
    <row r="4" spans="1:5" s="5" customFormat="1" x14ac:dyDescent="0.3">
      <c r="A4" s="4" t="s">
        <v>2</v>
      </c>
      <c r="B4" s="5">
        <v>854</v>
      </c>
      <c r="C4" s="5">
        <v>112</v>
      </c>
    </row>
    <row r="5" spans="1:5" x14ac:dyDescent="0.3">
      <c r="A5" s="4" t="s">
        <v>3</v>
      </c>
      <c r="B5" s="30">
        <v>1089</v>
      </c>
      <c r="C5" s="30">
        <v>104</v>
      </c>
      <c r="D5" s="5"/>
    </row>
    <row r="6" spans="1:5" x14ac:dyDescent="0.3">
      <c r="A6" s="4" t="s">
        <v>4</v>
      </c>
      <c r="B6" s="19">
        <v>4132</v>
      </c>
      <c r="C6" s="6">
        <v>589</v>
      </c>
      <c r="D6" s="5"/>
    </row>
    <row r="7" spans="1:5" x14ac:dyDescent="0.3">
      <c r="A7" s="4" t="s">
        <v>5</v>
      </c>
      <c r="B7" s="32">
        <v>3425</v>
      </c>
      <c r="C7" s="5">
        <v>285</v>
      </c>
      <c r="D7" s="5"/>
    </row>
    <row r="8" spans="1:5" s="15" customFormat="1" x14ac:dyDescent="0.3">
      <c r="A8" s="14" t="s">
        <v>6</v>
      </c>
      <c r="B8" s="6">
        <v>83</v>
      </c>
      <c r="C8" s="6">
        <v>12</v>
      </c>
      <c r="D8" s="5"/>
    </row>
    <row r="9" spans="1:5" x14ac:dyDescent="0.3">
      <c r="A9" s="4" t="s">
        <v>7</v>
      </c>
      <c r="B9" s="5">
        <v>123</v>
      </c>
      <c r="C9" s="5">
        <v>11</v>
      </c>
      <c r="D9" s="5"/>
    </row>
    <row r="10" spans="1:5" x14ac:dyDescent="0.3">
      <c r="A10" s="4" t="s">
        <v>8</v>
      </c>
      <c r="B10" s="5">
        <v>601</v>
      </c>
      <c r="C10" s="5">
        <v>49</v>
      </c>
      <c r="D10" s="5"/>
    </row>
    <row r="11" spans="1:5" x14ac:dyDescent="0.3">
      <c r="A11" s="4" t="s">
        <v>9</v>
      </c>
      <c r="B11" s="5">
        <v>20</v>
      </c>
      <c r="C11" s="5">
        <v>5</v>
      </c>
      <c r="D11" s="5"/>
    </row>
    <row r="12" spans="1:5" x14ac:dyDescent="0.3">
      <c r="A12" s="4" t="s">
        <v>10</v>
      </c>
      <c r="B12" s="5">
        <v>199</v>
      </c>
      <c r="C12" s="5">
        <v>21</v>
      </c>
      <c r="D12" s="5"/>
    </row>
    <row r="13" spans="1:5" x14ac:dyDescent="0.3">
      <c r="A13" s="4" t="s">
        <v>11</v>
      </c>
      <c r="B13" s="5">
        <v>14</v>
      </c>
      <c r="C13" s="5">
        <v>3</v>
      </c>
      <c r="D13" s="5"/>
    </row>
    <row r="14" spans="1:5" x14ac:dyDescent="0.3">
      <c r="A14" s="4" t="s">
        <v>12</v>
      </c>
      <c r="B14" s="8">
        <v>7</v>
      </c>
      <c r="C14" s="7">
        <v>0</v>
      </c>
      <c r="D14" s="5"/>
    </row>
    <row r="15" spans="1:5" x14ac:dyDescent="0.3">
      <c r="A15" s="4" t="s">
        <v>13</v>
      </c>
      <c r="B15" s="5">
        <v>0</v>
      </c>
      <c r="C15" s="5">
        <v>0</v>
      </c>
      <c r="D15" s="5" t="s">
        <v>231</v>
      </c>
    </row>
    <row r="16" spans="1:5" x14ac:dyDescent="0.3">
      <c r="A16" s="4" t="s">
        <v>14</v>
      </c>
      <c r="B16" s="5">
        <v>10</v>
      </c>
      <c r="C16" s="5">
        <v>0</v>
      </c>
      <c r="D16" s="5"/>
    </row>
    <row r="17" spans="1:2" x14ac:dyDescent="0.3">
      <c r="B17" s="3"/>
    </row>
    <row r="20" spans="1:2" x14ac:dyDescent="0.3">
      <c r="A20" s="1" t="s">
        <v>122</v>
      </c>
    </row>
    <row r="21" spans="1:2" x14ac:dyDescent="0.3">
      <c r="A21" s="33" t="s">
        <v>291</v>
      </c>
    </row>
    <row r="22" spans="1:2" x14ac:dyDescent="0.3">
      <c r="A22" s="33" t="s">
        <v>289</v>
      </c>
    </row>
    <row r="23" spans="1:2" x14ac:dyDescent="0.3">
      <c r="A23" s="34" t="s">
        <v>290</v>
      </c>
    </row>
    <row r="24" spans="1:2" x14ac:dyDescent="0.3">
      <c r="A24" s="35" t="s">
        <v>292</v>
      </c>
    </row>
    <row r="25" spans="1:2" x14ac:dyDescent="0.3">
      <c r="A25" s="33" t="s">
        <v>294</v>
      </c>
    </row>
  </sheetData>
  <mergeCells count="1">
    <mergeCell ref="A1:D1"/>
  </mergeCells>
  <hyperlinks>
    <hyperlink ref="A22" r:id="rId1" display="*** NT's official website does not disclose the number of current hospitalizations, but according to the press it was 2 as of January 13th." xr:uid="{00000000-0004-0000-2700-000000000000}"/>
    <hyperlink ref="A23" r:id="rId2" display="**** YT's official website does not disclose the number of current hospitalizations, but according to the press it was 2 as of January 12th." xr:uid="{00000000-0004-0000-2700-000001000000}"/>
    <hyperlink ref="A24" r:id="rId3" display="***** NU's official website does not disclose the number of current hospitalizaions, but according to the press as of January 18th, 10 people had been hospitalized since mid-December." xr:uid="{00000000-0004-0000-2700-000002000000}"/>
    <hyperlink ref="A21" r:id="rId4" xr:uid="{00000000-0004-0000-2700-000003000000}"/>
    <hyperlink ref="A25" r:id="rId5" display="******NB's official website requires a password, so the information provided was found in a CBC news article dated from January 19th." xr:uid="{00000000-0004-0000-2700-000004000000}"/>
  </hyperlinks>
  <pageMargins left="0.7" right="0.7" top="0.75" bottom="0.75" header="0.3" footer="0.3"/>
  <pageSetup orientation="portrait" r:id="rId6"/>
  <drawing r:id="rId7"/>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P24"/>
  <sheetViews>
    <sheetView zoomScaleNormal="100" workbookViewId="0">
      <selection activeCell="A20" sqref="A20"/>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285</v>
      </c>
      <c r="B1" s="44"/>
      <c r="C1" s="44"/>
      <c r="D1" s="44"/>
      <c r="E1" s="2"/>
    </row>
    <row r="2" spans="1:5" x14ac:dyDescent="0.3">
      <c r="B2" s="9" t="s">
        <v>1</v>
      </c>
      <c r="C2" s="10" t="s">
        <v>0</v>
      </c>
    </row>
    <row r="3" spans="1:5" ht="15" thickBot="1" x14ac:dyDescent="0.35">
      <c r="B3" s="20">
        <f>SUM(B4,B5,B6,B7,B8,B9,B10,B11,B12,B13,B16,B15,B14)</f>
        <v>9694</v>
      </c>
      <c r="C3" s="12">
        <f>SUM(C4,C5,C6,C7,C8,C9,,C10,C11,C12,C13,C16,C15,C14)</f>
        <v>1130</v>
      </c>
    </row>
    <row r="4" spans="1:5" s="5" customFormat="1" x14ac:dyDescent="0.3">
      <c r="A4" s="4" t="s">
        <v>2</v>
      </c>
      <c r="B4" s="5">
        <v>646</v>
      </c>
      <c r="C4" s="5">
        <v>95</v>
      </c>
    </row>
    <row r="5" spans="1:5" x14ac:dyDescent="0.3">
      <c r="A5" s="4" t="s">
        <v>3</v>
      </c>
      <c r="B5" s="30">
        <v>822</v>
      </c>
      <c r="C5" s="30">
        <v>81</v>
      </c>
      <c r="D5" s="5"/>
    </row>
    <row r="6" spans="1:5" x14ac:dyDescent="0.3">
      <c r="A6" s="4" t="s">
        <v>4</v>
      </c>
      <c r="B6" s="19">
        <v>3887</v>
      </c>
      <c r="C6" s="6">
        <v>578</v>
      </c>
      <c r="D6" s="5"/>
    </row>
    <row r="7" spans="1:5" x14ac:dyDescent="0.3">
      <c r="A7" s="4" t="s">
        <v>5</v>
      </c>
      <c r="B7" s="32">
        <v>3381</v>
      </c>
      <c r="C7" s="5">
        <v>286</v>
      </c>
      <c r="D7" s="5"/>
    </row>
    <row r="8" spans="1:5" s="15" customFormat="1" x14ac:dyDescent="0.3">
      <c r="A8" s="14" t="s">
        <v>6</v>
      </c>
      <c r="B8" s="6">
        <v>73</v>
      </c>
      <c r="C8" s="6">
        <v>13</v>
      </c>
      <c r="D8" s="5"/>
    </row>
    <row r="9" spans="1:5" x14ac:dyDescent="0.3">
      <c r="A9" s="4" t="s">
        <v>7</v>
      </c>
      <c r="B9" s="5">
        <v>113</v>
      </c>
      <c r="C9" s="5">
        <v>16</v>
      </c>
      <c r="D9" s="5"/>
    </row>
    <row r="10" spans="1:5" x14ac:dyDescent="0.3">
      <c r="A10" s="4" t="s">
        <v>8</v>
      </c>
      <c r="B10" s="5">
        <v>569</v>
      </c>
      <c r="C10" s="5">
        <v>45</v>
      </c>
      <c r="D10" s="5"/>
    </row>
    <row r="11" spans="1:5" x14ac:dyDescent="0.3">
      <c r="A11" s="4" t="s">
        <v>9</v>
      </c>
      <c r="B11" s="5">
        <v>17</v>
      </c>
      <c r="C11" s="5">
        <v>3</v>
      </c>
      <c r="D11" s="5"/>
    </row>
    <row r="12" spans="1:5" x14ac:dyDescent="0.3">
      <c r="A12" s="4" t="s">
        <v>10</v>
      </c>
      <c r="B12" s="5">
        <v>167</v>
      </c>
      <c r="C12" s="5">
        <v>13</v>
      </c>
      <c r="D12" s="5"/>
    </row>
    <row r="13" spans="1:5" x14ac:dyDescent="0.3">
      <c r="A13" s="4" t="s">
        <v>11</v>
      </c>
      <c r="B13" s="5">
        <v>15</v>
      </c>
      <c r="C13" s="5">
        <v>0</v>
      </c>
      <c r="D13" s="5"/>
    </row>
    <row r="14" spans="1:5" x14ac:dyDescent="0.3">
      <c r="A14" s="4" t="s">
        <v>12</v>
      </c>
      <c r="B14" s="8">
        <v>2</v>
      </c>
      <c r="C14" s="7">
        <v>0</v>
      </c>
      <c r="D14" s="5"/>
    </row>
    <row r="15" spans="1:5" x14ac:dyDescent="0.3">
      <c r="A15" s="4" t="s">
        <v>13</v>
      </c>
      <c r="B15" s="5">
        <v>2</v>
      </c>
      <c r="C15" s="5">
        <v>0</v>
      </c>
      <c r="D15" s="5" t="s">
        <v>231</v>
      </c>
    </row>
    <row r="16" spans="1:5" x14ac:dyDescent="0.3">
      <c r="A16" s="4" t="s">
        <v>14</v>
      </c>
      <c r="B16" s="5">
        <v>0</v>
      </c>
      <c r="C16" s="5">
        <v>0</v>
      </c>
      <c r="D16" s="5"/>
    </row>
    <row r="17" spans="1:2" x14ac:dyDescent="0.3">
      <c r="B17" s="3"/>
    </row>
    <row r="20" spans="1:2" x14ac:dyDescent="0.3">
      <c r="A20" s="1" t="s">
        <v>122</v>
      </c>
    </row>
    <row r="21" spans="1:2" x14ac:dyDescent="0.3">
      <c r="A21" s="1" t="s">
        <v>288</v>
      </c>
    </row>
    <row r="22" spans="1:2" x14ac:dyDescent="0.3">
      <c r="A22" s="33" t="s">
        <v>286</v>
      </c>
    </row>
    <row r="23" spans="1:2" x14ac:dyDescent="0.3">
      <c r="A23" s="34" t="s">
        <v>287</v>
      </c>
    </row>
    <row r="24" spans="1:2" x14ac:dyDescent="0.3">
      <c r="A24" s="21"/>
    </row>
  </sheetData>
  <mergeCells count="1">
    <mergeCell ref="A1:D1"/>
  </mergeCells>
  <hyperlinks>
    <hyperlink ref="A22" r:id="rId1" display="** NT's official website does not disclose the number of current hospitalizations, but according to the press it was 2 as of January 13th." xr:uid="{00000000-0004-0000-2800-000000000000}"/>
    <hyperlink ref="A23" r:id="rId2" display="*** YT's official website does not disclose the number of current hospitalizations, but according to the press it was 2 as of January 12th." xr:uid="{00000000-0004-0000-2800-000001000000}"/>
  </hyperlinks>
  <pageMargins left="0.7" right="0.7" top="0.75" bottom="0.75" header="0.3" footer="0.3"/>
  <pageSetup orientation="portrait" r:id="rId3"/>
  <drawing r:id="rId4"/>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P24"/>
  <sheetViews>
    <sheetView zoomScale="110" zoomScaleNormal="130" workbookViewId="0">
      <selection activeCell="E17" sqref="E17"/>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284</v>
      </c>
      <c r="B1" s="44"/>
      <c r="C1" s="44"/>
      <c r="D1" s="44"/>
      <c r="E1" s="2"/>
    </row>
    <row r="2" spans="1:5" x14ac:dyDescent="0.3">
      <c r="B2" s="9" t="s">
        <v>1</v>
      </c>
      <c r="C2" s="10" t="s">
        <v>0</v>
      </c>
    </row>
    <row r="3" spans="1:5" ht="15" thickBot="1" x14ac:dyDescent="0.35">
      <c r="B3" s="20">
        <f>SUM(B4,B5,B6,B7,B8,B9,B10,B11,B12,B13,B16,B15,B14)</f>
        <v>8475</v>
      </c>
      <c r="C3" s="12">
        <f>SUM(C4,C5,C6,C7,C8,C9,,C10,C11,C12,C13,C16,C15,C14)</f>
        <v>1018</v>
      </c>
    </row>
    <row r="4" spans="1:5" s="5" customFormat="1" x14ac:dyDescent="0.3">
      <c r="A4" s="4" t="s">
        <v>2</v>
      </c>
      <c r="B4" s="5">
        <v>500</v>
      </c>
      <c r="C4" s="5">
        <v>102</v>
      </c>
    </row>
    <row r="5" spans="1:5" x14ac:dyDescent="0.3">
      <c r="A5" s="4" t="s">
        <v>3</v>
      </c>
      <c r="B5" s="30">
        <v>748</v>
      </c>
      <c r="C5" s="30">
        <v>82</v>
      </c>
      <c r="D5" s="5"/>
    </row>
    <row r="6" spans="1:5" x14ac:dyDescent="0.3">
      <c r="A6" s="4" t="s">
        <v>4</v>
      </c>
      <c r="B6" s="19">
        <v>3630</v>
      </c>
      <c r="C6" s="6">
        <v>500</v>
      </c>
      <c r="D6" s="5"/>
    </row>
    <row r="7" spans="1:5" x14ac:dyDescent="0.3">
      <c r="A7" s="4" t="s">
        <v>5</v>
      </c>
      <c r="B7" s="32">
        <v>2877</v>
      </c>
      <c r="C7" s="5">
        <v>263</v>
      </c>
      <c r="D7" s="5"/>
    </row>
    <row r="8" spans="1:5" s="15" customFormat="1" x14ac:dyDescent="0.3">
      <c r="A8" s="14" t="s">
        <v>6</v>
      </c>
      <c r="B8" s="6">
        <v>65</v>
      </c>
      <c r="C8" s="6">
        <v>5</v>
      </c>
      <c r="D8" s="5"/>
    </row>
    <row r="9" spans="1:5" x14ac:dyDescent="0.3">
      <c r="A9" s="4" t="s">
        <v>7</v>
      </c>
      <c r="B9" s="5">
        <v>94</v>
      </c>
      <c r="C9" s="5">
        <v>10</v>
      </c>
      <c r="D9" s="5"/>
    </row>
    <row r="10" spans="1:5" x14ac:dyDescent="0.3">
      <c r="A10" s="4" t="s">
        <v>8</v>
      </c>
      <c r="B10" s="5">
        <v>419</v>
      </c>
      <c r="C10" s="5">
        <v>45</v>
      </c>
      <c r="D10" s="5"/>
    </row>
    <row r="11" spans="1:5" x14ac:dyDescent="0.3">
      <c r="A11" s="4" t="s">
        <v>9</v>
      </c>
      <c r="B11" s="5">
        <v>11</v>
      </c>
      <c r="C11" s="5">
        <v>2</v>
      </c>
      <c r="D11" s="5"/>
    </row>
    <row r="12" spans="1:5" x14ac:dyDescent="0.3">
      <c r="A12" s="4" t="s">
        <v>10</v>
      </c>
      <c r="B12" s="5">
        <v>121</v>
      </c>
      <c r="C12" s="5">
        <v>9</v>
      </c>
      <c r="D12" s="5"/>
    </row>
    <row r="13" spans="1:5" x14ac:dyDescent="0.3">
      <c r="A13" s="4" t="s">
        <v>11</v>
      </c>
      <c r="B13" s="5">
        <v>7</v>
      </c>
      <c r="C13" s="5">
        <v>0</v>
      </c>
      <c r="D13" s="5"/>
    </row>
    <row r="14" spans="1:5" x14ac:dyDescent="0.3">
      <c r="A14" s="4" t="s">
        <v>12</v>
      </c>
      <c r="B14" s="8">
        <v>1</v>
      </c>
      <c r="C14" s="7">
        <v>0</v>
      </c>
      <c r="D14" s="5"/>
    </row>
    <row r="15" spans="1:5" x14ac:dyDescent="0.3">
      <c r="A15" s="4" t="s">
        <v>13</v>
      </c>
      <c r="B15" s="5">
        <v>2</v>
      </c>
      <c r="C15" s="5">
        <v>0</v>
      </c>
      <c r="D15" s="5" t="s">
        <v>231</v>
      </c>
    </row>
    <row r="16" spans="1:5" x14ac:dyDescent="0.3">
      <c r="A16" s="4" t="s">
        <v>14</v>
      </c>
      <c r="B16" s="5">
        <v>0</v>
      </c>
      <c r="C16" s="5">
        <v>0</v>
      </c>
      <c r="D16" s="5"/>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P24"/>
  <sheetViews>
    <sheetView zoomScale="110" zoomScaleNormal="130" workbookViewId="0">
      <selection activeCell="B15" sqref="B15"/>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283</v>
      </c>
      <c r="B1" s="44"/>
      <c r="C1" s="44"/>
      <c r="D1" s="44"/>
      <c r="E1" s="2"/>
    </row>
    <row r="2" spans="1:5" x14ac:dyDescent="0.3">
      <c r="B2" s="9" t="s">
        <v>1</v>
      </c>
      <c r="C2" s="10" t="s">
        <v>0</v>
      </c>
    </row>
    <row r="3" spans="1:5" ht="15" thickBot="1" x14ac:dyDescent="0.35">
      <c r="B3" s="20">
        <f>SUM(B4,B5,B6,B7,B8,B9,B10,B11,B12,B13,B16,B15,B14)</f>
        <v>7681</v>
      </c>
      <c r="C3" s="12">
        <f>SUM(C4,C5,C6,C7,C8,C9,,C10,C11,C12,C13,C16,C15,C14)</f>
        <v>969</v>
      </c>
    </row>
    <row r="4" spans="1:5" s="5" customFormat="1" x14ac:dyDescent="0.3">
      <c r="A4" s="4" t="s">
        <v>2</v>
      </c>
      <c r="B4" s="5">
        <v>431</v>
      </c>
      <c r="C4" s="5">
        <v>95</v>
      </c>
    </row>
    <row r="5" spans="1:5" x14ac:dyDescent="0.3">
      <c r="A5" s="4" t="s">
        <v>3</v>
      </c>
      <c r="B5" s="30">
        <v>635</v>
      </c>
      <c r="C5" s="30">
        <v>72</v>
      </c>
      <c r="D5" s="5"/>
    </row>
    <row r="6" spans="1:5" x14ac:dyDescent="0.3">
      <c r="A6" s="4" t="s">
        <v>4</v>
      </c>
      <c r="B6" s="19">
        <v>3220</v>
      </c>
      <c r="C6" s="6">
        <v>477</v>
      </c>
      <c r="D6" s="5"/>
    </row>
    <row r="7" spans="1:5" x14ac:dyDescent="0.3">
      <c r="A7" s="4" t="s">
        <v>5</v>
      </c>
      <c r="B7" s="32">
        <v>2742</v>
      </c>
      <c r="C7" s="5">
        <v>255</v>
      </c>
      <c r="D7" s="5"/>
    </row>
    <row r="8" spans="1:5" s="15" customFormat="1" x14ac:dyDescent="0.3">
      <c r="A8" s="14" t="s">
        <v>6</v>
      </c>
      <c r="B8" s="6">
        <v>58</v>
      </c>
      <c r="C8" s="6">
        <v>4</v>
      </c>
      <c r="D8" s="5"/>
    </row>
    <row r="9" spans="1:5" x14ac:dyDescent="0.3">
      <c r="A9" s="4" t="s">
        <v>7</v>
      </c>
      <c r="B9" s="5">
        <v>86</v>
      </c>
      <c r="C9" s="5">
        <v>13</v>
      </c>
      <c r="D9" s="5"/>
    </row>
    <row r="10" spans="1:5" x14ac:dyDescent="0.3">
      <c r="A10" s="4" t="s">
        <v>8</v>
      </c>
      <c r="B10" s="5">
        <v>381</v>
      </c>
      <c r="C10" s="5">
        <v>41</v>
      </c>
      <c r="D10" s="5"/>
    </row>
    <row r="11" spans="1:5" x14ac:dyDescent="0.3">
      <c r="A11" s="4" t="s">
        <v>9</v>
      </c>
      <c r="B11" s="5">
        <v>5</v>
      </c>
      <c r="C11" s="5">
        <v>1</v>
      </c>
      <c r="D11" s="5"/>
    </row>
    <row r="12" spans="1:5" x14ac:dyDescent="0.3">
      <c r="A12" s="4" t="s">
        <v>10</v>
      </c>
      <c r="B12" s="5">
        <v>119</v>
      </c>
      <c r="C12" s="5">
        <v>11</v>
      </c>
      <c r="D12" s="5"/>
    </row>
    <row r="13" spans="1:5" x14ac:dyDescent="0.3">
      <c r="A13" s="4" t="s">
        <v>11</v>
      </c>
      <c r="B13" s="5">
        <v>4</v>
      </c>
      <c r="C13" s="5">
        <v>0</v>
      </c>
      <c r="D13" s="5"/>
    </row>
    <row r="14" spans="1:5" x14ac:dyDescent="0.3">
      <c r="A14" s="4" t="s">
        <v>12</v>
      </c>
      <c r="B14" s="8">
        <v>0</v>
      </c>
      <c r="C14" s="7">
        <v>0</v>
      </c>
      <c r="D14" s="5"/>
    </row>
    <row r="15" spans="1:5" x14ac:dyDescent="0.3">
      <c r="A15" s="4" t="s">
        <v>13</v>
      </c>
      <c r="B15" s="5">
        <v>0</v>
      </c>
      <c r="C15" s="5">
        <v>0</v>
      </c>
      <c r="D15" s="5" t="s">
        <v>231</v>
      </c>
    </row>
    <row r="16" spans="1:5" x14ac:dyDescent="0.3">
      <c r="A16" s="4" t="s">
        <v>14</v>
      </c>
      <c r="B16" s="5">
        <v>0</v>
      </c>
      <c r="C16" s="5">
        <v>0</v>
      </c>
      <c r="D16" s="5"/>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P24"/>
  <sheetViews>
    <sheetView zoomScale="110" zoomScaleNormal="130" workbookViewId="0">
      <selection activeCell="C4" sqref="C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282</v>
      </c>
      <c r="B1" s="44"/>
      <c r="C1" s="44"/>
      <c r="D1" s="44"/>
      <c r="E1" s="2"/>
    </row>
    <row r="2" spans="1:5" x14ac:dyDescent="0.3">
      <c r="B2" s="9" t="s">
        <v>1</v>
      </c>
      <c r="C2" s="10" t="s">
        <v>0</v>
      </c>
    </row>
    <row r="3" spans="1:5" ht="15" thickBot="1" x14ac:dyDescent="0.35">
      <c r="B3" s="20">
        <f>SUM(B4,B5,B6,B7,B8,B9,B10,B11,B12,B13,B16,B15,B14)</f>
        <v>5490</v>
      </c>
      <c r="C3" s="12">
        <f>SUM(C4,C5,C6,C7,C8,C9,,C10,C11,C12,C13,C16,C15,C14)</f>
        <v>752</v>
      </c>
    </row>
    <row r="4" spans="1:5" s="5" customFormat="1" x14ac:dyDescent="0.3">
      <c r="A4" s="4" t="s">
        <v>2</v>
      </c>
      <c r="B4" s="5">
        <v>317</v>
      </c>
      <c r="C4" s="5">
        <v>83</v>
      </c>
    </row>
    <row r="5" spans="1:5" x14ac:dyDescent="0.3">
      <c r="A5" s="4" t="s">
        <v>3</v>
      </c>
      <c r="B5" s="30">
        <v>470</v>
      </c>
      <c r="C5" s="30">
        <v>72</v>
      </c>
      <c r="D5" s="5"/>
    </row>
    <row r="6" spans="1:5" x14ac:dyDescent="0.3">
      <c r="A6" s="4" t="s">
        <v>4</v>
      </c>
      <c r="B6" s="19">
        <v>2279</v>
      </c>
      <c r="C6" s="6">
        <v>319</v>
      </c>
      <c r="D6" s="5"/>
    </row>
    <row r="7" spans="1:5" x14ac:dyDescent="0.3">
      <c r="A7" s="4" t="s">
        <v>5</v>
      </c>
      <c r="B7" s="32">
        <v>1953</v>
      </c>
      <c r="C7" s="5">
        <v>207</v>
      </c>
      <c r="D7" s="5"/>
    </row>
    <row r="8" spans="1:5" s="15" customFormat="1" x14ac:dyDescent="0.3">
      <c r="A8" s="14" t="s">
        <v>6</v>
      </c>
      <c r="B8" s="6">
        <v>48</v>
      </c>
      <c r="C8" s="6">
        <v>9</v>
      </c>
      <c r="D8" s="5"/>
    </row>
    <row r="9" spans="1:5" x14ac:dyDescent="0.3">
      <c r="A9" s="4" t="s">
        <v>7</v>
      </c>
      <c r="B9" s="5">
        <v>63</v>
      </c>
      <c r="C9" s="5">
        <v>19</v>
      </c>
      <c r="D9" s="5"/>
    </row>
    <row r="10" spans="1:5" x14ac:dyDescent="0.3">
      <c r="A10" s="4" t="s">
        <v>8</v>
      </c>
      <c r="B10" s="5">
        <v>252</v>
      </c>
      <c r="C10" s="5">
        <v>30</v>
      </c>
      <c r="D10" s="5"/>
    </row>
    <row r="11" spans="1:5" x14ac:dyDescent="0.3">
      <c r="A11" s="4" t="s">
        <v>9</v>
      </c>
      <c r="B11" s="5">
        <v>4</v>
      </c>
      <c r="C11" s="5">
        <v>1</v>
      </c>
      <c r="D11" s="5"/>
    </row>
    <row r="12" spans="1:5" x14ac:dyDescent="0.3">
      <c r="A12" s="4" t="s">
        <v>10</v>
      </c>
      <c r="B12" s="5">
        <v>100</v>
      </c>
      <c r="C12" s="5">
        <v>12</v>
      </c>
      <c r="D12" s="5"/>
    </row>
    <row r="13" spans="1:5" x14ac:dyDescent="0.3">
      <c r="A13" s="4" t="s">
        <v>11</v>
      </c>
      <c r="B13" s="5">
        <v>4</v>
      </c>
      <c r="C13" s="5">
        <v>0</v>
      </c>
      <c r="D13" s="5"/>
    </row>
    <row r="14" spans="1:5" x14ac:dyDescent="0.3">
      <c r="A14" s="4" t="s">
        <v>12</v>
      </c>
      <c r="B14" s="8">
        <v>0</v>
      </c>
      <c r="C14" s="7">
        <v>0</v>
      </c>
      <c r="D14" s="5"/>
    </row>
    <row r="15" spans="1:5" x14ac:dyDescent="0.3">
      <c r="A15" s="4" t="s">
        <v>13</v>
      </c>
      <c r="B15" s="5">
        <v>0</v>
      </c>
      <c r="C15" s="5">
        <v>0</v>
      </c>
      <c r="D15" s="5" t="s">
        <v>231</v>
      </c>
    </row>
    <row r="16" spans="1:5" x14ac:dyDescent="0.3">
      <c r="A16" s="4" t="s">
        <v>14</v>
      </c>
      <c r="B16" s="5">
        <v>0</v>
      </c>
      <c r="C16" s="5">
        <v>0</v>
      </c>
      <c r="D16" s="5"/>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P24"/>
  <sheetViews>
    <sheetView zoomScale="110" zoomScaleNormal="130" workbookViewId="0">
      <selection sqref="A1:D1"/>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281</v>
      </c>
      <c r="B1" s="44"/>
      <c r="C1" s="44"/>
      <c r="D1" s="44"/>
      <c r="E1" s="2"/>
    </row>
    <row r="2" spans="1:5" x14ac:dyDescent="0.3">
      <c r="B2" s="9" t="s">
        <v>1</v>
      </c>
      <c r="C2" s="10" t="s">
        <v>0</v>
      </c>
    </row>
    <row r="3" spans="1:5" ht="15" thickBot="1" x14ac:dyDescent="0.35">
      <c r="B3" s="20">
        <f>SUM(B4,B5,B6,B7,B8,B9,B10,B11,B12,B13,B16,B15,B14)</f>
        <v>1894</v>
      </c>
      <c r="C3" s="12">
        <f>SUM(C4,C5,C6,C7,C8,C9,,C10,C11,C12,C13,C16,C15,C14)</f>
        <v>455</v>
      </c>
    </row>
    <row r="4" spans="1:5" s="5" customFormat="1" x14ac:dyDescent="0.3">
      <c r="A4" s="4" t="s">
        <v>2</v>
      </c>
      <c r="B4" s="5">
        <f>220+C4</f>
        <v>293</v>
      </c>
      <c r="C4" s="5">
        <v>73</v>
      </c>
    </row>
    <row r="5" spans="1:5" x14ac:dyDescent="0.3">
      <c r="A5" s="4" t="s">
        <v>3</v>
      </c>
      <c r="B5" s="30">
        <f>368+C5</f>
        <v>438</v>
      </c>
      <c r="C5" s="30">
        <v>70</v>
      </c>
      <c r="D5" s="5"/>
    </row>
    <row r="6" spans="1:5" x14ac:dyDescent="0.3">
      <c r="A6" s="4" t="s">
        <v>4</v>
      </c>
      <c r="B6" s="19">
        <f>309+C6</f>
        <v>464</v>
      </c>
      <c r="C6" s="6">
        <v>155</v>
      </c>
      <c r="D6" s="5"/>
    </row>
    <row r="7" spans="1:5" x14ac:dyDescent="0.3">
      <c r="A7" s="4" t="s">
        <v>5</v>
      </c>
      <c r="B7" s="32">
        <f>255+C7</f>
        <v>315</v>
      </c>
      <c r="C7" s="5">
        <v>60</v>
      </c>
      <c r="D7" s="5"/>
    </row>
    <row r="8" spans="1:5" s="15" customFormat="1" x14ac:dyDescent="0.3">
      <c r="A8" s="14" t="s">
        <v>6</v>
      </c>
      <c r="B8" s="6">
        <f>9+C8</f>
        <v>13</v>
      </c>
      <c r="C8" s="6">
        <v>4</v>
      </c>
      <c r="D8" s="5"/>
    </row>
    <row r="9" spans="1:5" x14ac:dyDescent="0.3">
      <c r="A9" s="4" t="s">
        <v>7</v>
      </c>
      <c r="B9" s="5">
        <f>40+C9</f>
        <v>56</v>
      </c>
      <c r="C9" s="5">
        <v>16</v>
      </c>
      <c r="D9" s="5"/>
    </row>
    <row r="10" spans="1:5" x14ac:dyDescent="0.3">
      <c r="A10" s="4" t="s">
        <v>8</v>
      </c>
      <c r="B10" s="5">
        <f>89+C10</f>
        <v>116</v>
      </c>
      <c r="C10" s="5">
        <v>27</v>
      </c>
      <c r="D10" s="5"/>
    </row>
    <row r="11" spans="1:5" x14ac:dyDescent="0.3">
      <c r="A11" s="4" t="s">
        <v>9</v>
      </c>
      <c r="B11" s="5">
        <v>0</v>
      </c>
      <c r="C11" s="5">
        <v>0</v>
      </c>
      <c r="D11" s="5"/>
    </row>
    <row r="12" spans="1:5" x14ac:dyDescent="0.3">
      <c r="A12" s="4" t="s">
        <v>10</v>
      </c>
      <c r="B12" s="5">
        <f>88+C12</f>
        <v>118</v>
      </c>
      <c r="C12" s="5">
        <v>30</v>
      </c>
      <c r="D12" s="5"/>
    </row>
    <row r="13" spans="1:5" x14ac:dyDescent="0.3">
      <c r="A13" s="4" t="s">
        <v>11</v>
      </c>
      <c r="B13" s="5">
        <v>0</v>
      </c>
      <c r="C13" s="5">
        <v>0</v>
      </c>
      <c r="D13" s="5"/>
    </row>
    <row r="14" spans="1:5" x14ac:dyDescent="0.3">
      <c r="A14" s="4" t="s">
        <v>12</v>
      </c>
      <c r="B14" s="8">
        <f>61+C14</f>
        <v>81</v>
      </c>
      <c r="C14" s="7">
        <v>20</v>
      </c>
      <c r="D14" s="5"/>
    </row>
    <row r="15" spans="1:5" x14ac:dyDescent="0.3">
      <c r="A15" s="4" t="s">
        <v>13</v>
      </c>
      <c r="B15" s="5">
        <v>0</v>
      </c>
      <c r="C15" s="5">
        <v>0</v>
      </c>
      <c r="D15" s="5" t="s">
        <v>231</v>
      </c>
    </row>
    <row r="16" spans="1:5" x14ac:dyDescent="0.3">
      <c r="A16" s="4" t="s">
        <v>14</v>
      </c>
      <c r="B16" s="5">
        <v>0</v>
      </c>
      <c r="C16" s="5">
        <v>0</v>
      </c>
      <c r="D16" s="5"/>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P24"/>
  <sheetViews>
    <sheetView zoomScale="110" zoomScaleNormal="130" workbookViewId="0">
      <selection activeCell="B16" sqref="B16"/>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280</v>
      </c>
      <c r="B1" s="44"/>
      <c r="C1" s="44"/>
      <c r="D1" s="44"/>
      <c r="E1" s="2"/>
    </row>
    <row r="2" spans="1:5" x14ac:dyDescent="0.3">
      <c r="B2" s="9" t="s">
        <v>1</v>
      </c>
      <c r="C2" s="10" t="s">
        <v>0</v>
      </c>
    </row>
    <row r="3" spans="1:5" ht="15" thickBot="1" x14ac:dyDescent="0.35">
      <c r="B3" s="20">
        <f>SUM(B4,B5,B6,B7,B8,B9,B10,B11,B12,B13,B16,B15,B14)</f>
        <v>1973</v>
      </c>
      <c r="C3" s="12">
        <f>SUM(C4,C5,C6,C7,C8,C9,,C10,C11,C12,C13,C16,C15,C14)</f>
        <v>469</v>
      </c>
    </row>
    <row r="4" spans="1:5" s="5" customFormat="1" x14ac:dyDescent="0.3">
      <c r="A4" s="4" t="s">
        <v>2</v>
      </c>
      <c r="B4" s="5">
        <f>242+C4</f>
        <v>324</v>
      </c>
      <c r="C4" s="5">
        <v>82</v>
      </c>
    </row>
    <row r="5" spans="1:5" x14ac:dyDescent="0.3">
      <c r="A5" s="4" t="s">
        <v>3</v>
      </c>
      <c r="B5" s="30">
        <f>373+C5</f>
        <v>449</v>
      </c>
      <c r="C5" s="30">
        <v>76</v>
      </c>
      <c r="D5" s="5"/>
    </row>
    <row r="6" spans="1:5" x14ac:dyDescent="0.3">
      <c r="A6" s="4" t="s">
        <v>4</v>
      </c>
      <c r="B6" s="19">
        <f>333+C6</f>
        <v>488</v>
      </c>
      <c r="C6" s="6">
        <v>155</v>
      </c>
      <c r="D6" s="5"/>
    </row>
    <row r="7" spans="1:5" x14ac:dyDescent="0.3">
      <c r="A7" s="4" t="s">
        <v>5</v>
      </c>
      <c r="B7" s="32">
        <f>242+C7</f>
        <v>301</v>
      </c>
      <c r="C7" s="5">
        <v>59</v>
      </c>
      <c r="D7" s="5"/>
    </row>
    <row r="8" spans="1:5" s="15" customFormat="1" x14ac:dyDescent="0.3">
      <c r="A8" s="14" t="s">
        <v>6</v>
      </c>
      <c r="B8" s="6">
        <f>11+C8</f>
        <v>15</v>
      </c>
      <c r="C8" s="6">
        <v>4</v>
      </c>
      <c r="D8" s="5"/>
    </row>
    <row r="9" spans="1:5" x14ac:dyDescent="0.3">
      <c r="A9" s="4" t="s">
        <v>7</v>
      </c>
      <c r="B9" s="5">
        <f>47+C9</f>
        <v>65</v>
      </c>
      <c r="C9" s="5">
        <v>18</v>
      </c>
      <c r="D9" s="5"/>
    </row>
    <row r="10" spans="1:5" x14ac:dyDescent="0.3">
      <c r="A10" s="4" t="s">
        <v>8</v>
      </c>
      <c r="B10" s="5">
        <f>95+C10</f>
        <v>119</v>
      </c>
      <c r="C10" s="5">
        <v>24</v>
      </c>
      <c r="D10" s="5"/>
    </row>
    <row r="11" spans="1:5" x14ac:dyDescent="0.3">
      <c r="A11" s="4" t="s">
        <v>9</v>
      </c>
      <c r="B11" s="5">
        <v>0</v>
      </c>
      <c r="C11" s="5">
        <v>0</v>
      </c>
      <c r="D11" s="5"/>
    </row>
    <row r="12" spans="1:5" x14ac:dyDescent="0.3">
      <c r="A12" s="4" t="s">
        <v>10</v>
      </c>
      <c r="B12" s="5">
        <f>100+C12</f>
        <v>131</v>
      </c>
      <c r="C12" s="5">
        <v>31</v>
      </c>
      <c r="D12" s="5"/>
    </row>
    <row r="13" spans="1:5" x14ac:dyDescent="0.3">
      <c r="A13" s="4" t="s">
        <v>11</v>
      </c>
      <c r="B13" s="5">
        <v>0</v>
      </c>
      <c r="C13" s="5">
        <v>0</v>
      </c>
      <c r="D13" s="5"/>
    </row>
    <row r="14" spans="1:5" x14ac:dyDescent="0.3">
      <c r="A14" s="4" t="s">
        <v>12</v>
      </c>
      <c r="B14" s="8">
        <f>61+C14</f>
        <v>81</v>
      </c>
      <c r="C14" s="7">
        <v>20</v>
      </c>
      <c r="D14" s="5"/>
    </row>
    <row r="15" spans="1:5" x14ac:dyDescent="0.3">
      <c r="A15" s="4" t="s">
        <v>13</v>
      </c>
      <c r="B15" s="5">
        <v>0</v>
      </c>
      <c r="C15" s="5">
        <v>0</v>
      </c>
      <c r="D15" s="5" t="s">
        <v>231</v>
      </c>
    </row>
    <row r="16" spans="1:5" x14ac:dyDescent="0.3">
      <c r="A16" s="4" t="s">
        <v>14</v>
      </c>
      <c r="B16" s="5">
        <v>0</v>
      </c>
      <c r="C16" s="5">
        <v>0</v>
      </c>
      <c r="D16" s="5"/>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P24"/>
  <sheetViews>
    <sheetView zoomScale="110" zoomScaleNormal="130" workbookViewId="0">
      <selection activeCell="B15" sqref="B15"/>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279</v>
      </c>
      <c r="B1" s="44"/>
      <c r="C1" s="44"/>
      <c r="D1" s="44"/>
      <c r="E1" s="2"/>
    </row>
    <row r="2" spans="1:5" x14ac:dyDescent="0.3">
      <c r="B2" s="9" t="s">
        <v>1</v>
      </c>
      <c r="C2" s="10" t="s">
        <v>0</v>
      </c>
    </row>
    <row r="3" spans="1:5" ht="15" thickBot="1" x14ac:dyDescent="0.35">
      <c r="B3" s="20">
        <f>SUM(B4,B5,B6,B7,B8,B9,B10,B11,B12,B13,B16,B15,B14)</f>
        <v>1845</v>
      </c>
      <c r="C3" s="12">
        <f>SUM(C4,C5,C6,C7,C8,C9,,C10,C11,C12,C13,C16,C15,C14)</f>
        <v>485</v>
      </c>
    </row>
    <row r="4" spans="1:5" s="5" customFormat="1" x14ac:dyDescent="0.3">
      <c r="A4" s="4" t="s">
        <v>2</v>
      </c>
      <c r="B4" s="5">
        <f>276+C4</f>
        <v>371</v>
      </c>
      <c r="C4" s="5">
        <v>95</v>
      </c>
    </row>
    <row r="5" spans="1:5" x14ac:dyDescent="0.3">
      <c r="A5" s="4" t="s">
        <v>3</v>
      </c>
      <c r="B5" s="30">
        <f>395+C5</f>
        <v>473</v>
      </c>
      <c r="C5" s="30">
        <v>78</v>
      </c>
      <c r="D5" s="5"/>
    </row>
    <row r="6" spans="1:5" x14ac:dyDescent="0.3">
      <c r="A6" s="4" t="s">
        <v>4</v>
      </c>
      <c r="B6" s="19">
        <f>140+C6</f>
        <v>304</v>
      </c>
      <c r="C6" s="6">
        <v>164</v>
      </c>
      <c r="D6" s="5"/>
    </row>
    <row r="7" spans="1:5" x14ac:dyDescent="0.3">
      <c r="A7" s="4" t="s">
        <v>5</v>
      </c>
      <c r="B7" s="32">
        <f>230+C7</f>
        <v>287</v>
      </c>
      <c r="C7" s="5">
        <v>57</v>
      </c>
      <c r="D7" s="5"/>
    </row>
    <row r="8" spans="1:5" s="15" customFormat="1" x14ac:dyDescent="0.3">
      <c r="A8" s="14" t="s">
        <v>6</v>
      </c>
      <c r="B8" s="6">
        <f>13+C8</f>
        <v>21</v>
      </c>
      <c r="C8" s="6">
        <v>8</v>
      </c>
      <c r="D8" s="5"/>
    </row>
    <row r="9" spans="1:5" x14ac:dyDescent="0.3">
      <c r="A9" s="4" t="s">
        <v>7</v>
      </c>
      <c r="B9" s="5">
        <f>46+C9</f>
        <v>62</v>
      </c>
      <c r="C9" s="5">
        <v>16</v>
      </c>
      <c r="D9" s="5"/>
    </row>
    <row r="10" spans="1:5" x14ac:dyDescent="0.3">
      <c r="A10" s="4" t="s">
        <v>8</v>
      </c>
      <c r="B10" s="5">
        <f>88+C10</f>
        <v>104</v>
      </c>
      <c r="C10" s="5">
        <v>16</v>
      </c>
      <c r="D10" s="5"/>
    </row>
    <row r="11" spans="1:5" x14ac:dyDescent="0.3">
      <c r="A11" s="4" t="s">
        <v>9</v>
      </c>
      <c r="B11" s="5">
        <v>0</v>
      </c>
      <c r="C11" s="5">
        <v>0</v>
      </c>
      <c r="D11" s="5"/>
    </row>
    <row r="12" spans="1:5" x14ac:dyDescent="0.3">
      <c r="A12" s="4" t="s">
        <v>10</v>
      </c>
      <c r="B12" s="5">
        <f>101+C12</f>
        <v>132</v>
      </c>
      <c r="C12" s="5">
        <v>31</v>
      </c>
      <c r="D12" s="5"/>
    </row>
    <row r="13" spans="1:5" x14ac:dyDescent="0.3">
      <c r="A13" s="4" t="s">
        <v>11</v>
      </c>
      <c r="B13" s="5">
        <v>0</v>
      </c>
      <c r="C13" s="5">
        <v>0</v>
      </c>
      <c r="D13" s="5"/>
    </row>
    <row r="14" spans="1:5" x14ac:dyDescent="0.3">
      <c r="A14" s="4" t="s">
        <v>12</v>
      </c>
      <c r="B14" s="8">
        <f>61+C14</f>
        <v>81</v>
      </c>
      <c r="C14" s="7">
        <v>20</v>
      </c>
      <c r="D14" s="5"/>
    </row>
    <row r="15" spans="1:5" x14ac:dyDescent="0.3">
      <c r="A15" s="4" t="s">
        <v>13</v>
      </c>
      <c r="B15" s="5">
        <v>10</v>
      </c>
      <c r="C15" s="5">
        <v>0</v>
      </c>
      <c r="D15" s="5" t="s">
        <v>231</v>
      </c>
    </row>
    <row r="16" spans="1:5" x14ac:dyDescent="0.3">
      <c r="A16" s="4" t="s">
        <v>14</v>
      </c>
      <c r="B16" s="5">
        <v>0</v>
      </c>
      <c r="C16" s="5">
        <v>0</v>
      </c>
      <c r="D16" s="5"/>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CD808-E8C9-439A-BBA3-FCD05A2D9069}">
  <dimension ref="A1:P27"/>
  <sheetViews>
    <sheetView zoomScaleNormal="100" workbookViewId="0">
      <selection activeCell="L7" sqref="L7"/>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511</v>
      </c>
      <c r="B1" s="44"/>
      <c r="C1" s="44"/>
      <c r="D1" s="44"/>
      <c r="E1" s="2"/>
    </row>
    <row r="2" spans="1:5" x14ac:dyDescent="0.3">
      <c r="B2" s="9" t="s">
        <v>1</v>
      </c>
      <c r="C2" s="10" t="s">
        <v>0</v>
      </c>
    </row>
    <row r="3" spans="1:5" ht="15" thickBot="1" x14ac:dyDescent="0.35">
      <c r="B3" s="20">
        <f>SUM(B4,B5,B6,B7,B8,B9,B10,B11,B12,B13,B16,B15,B14)</f>
        <v>4102</v>
      </c>
      <c r="C3" s="12">
        <f>SUM(C4,C5,C6,C7,C8,C9,,C10,C11,C12,C13,C16,C15,C14)</f>
        <v>232</v>
      </c>
    </row>
    <row r="4" spans="1:5" s="5" customFormat="1" x14ac:dyDescent="0.3">
      <c r="A4" s="4" t="s">
        <v>2</v>
      </c>
      <c r="B4" s="18">
        <v>426</v>
      </c>
      <c r="C4" s="5">
        <v>34</v>
      </c>
    </row>
    <row r="5" spans="1:5" x14ac:dyDescent="0.3">
      <c r="A5" s="4" t="s">
        <v>3</v>
      </c>
      <c r="B5" s="30">
        <v>552</v>
      </c>
      <c r="C5" s="30">
        <v>16</v>
      </c>
      <c r="D5" s="5"/>
    </row>
    <row r="6" spans="1:5" x14ac:dyDescent="0.3">
      <c r="A6" s="4" t="s">
        <v>4</v>
      </c>
      <c r="B6" s="19">
        <v>985</v>
      </c>
      <c r="C6" s="6">
        <v>118</v>
      </c>
      <c r="D6" s="5"/>
    </row>
    <row r="7" spans="1:5" x14ac:dyDescent="0.3">
      <c r="A7" s="4" t="s">
        <v>5</v>
      </c>
      <c r="B7" s="32">
        <v>1887</v>
      </c>
      <c r="C7" s="5">
        <v>42</v>
      </c>
      <c r="D7" s="5"/>
    </row>
    <row r="8" spans="1:5" s="15" customFormat="1" x14ac:dyDescent="0.3">
      <c r="A8" s="14" t="s">
        <v>6</v>
      </c>
      <c r="B8" s="6">
        <v>32</v>
      </c>
      <c r="C8" s="6">
        <v>9</v>
      </c>
      <c r="D8" s="5"/>
    </row>
    <row r="9" spans="1:5" x14ac:dyDescent="0.3">
      <c r="A9" s="4" t="s">
        <v>7</v>
      </c>
      <c r="B9" s="5">
        <v>17</v>
      </c>
      <c r="C9" s="5">
        <v>2</v>
      </c>
      <c r="D9" s="5"/>
    </row>
    <row r="10" spans="1:5" x14ac:dyDescent="0.3">
      <c r="A10" s="4" t="s">
        <v>8</v>
      </c>
      <c r="B10" s="5">
        <v>59</v>
      </c>
      <c r="C10" s="5">
        <v>7</v>
      </c>
      <c r="D10" s="5"/>
    </row>
    <row r="11" spans="1:5" x14ac:dyDescent="0.3">
      <c r="A11" s="4" t="s">
        <v>9</v>
      </c>
      <c r="B11" s="5">
        <v>19</v>
      </c>
      <c r="C11" s="5">
        <v>0</v>
      </c>
      <c r="D11" s="5"/>
    </row>
    <row r="12" spans="1:5" x14ac:dyDescent="0.3">
      <c r="A12" s="4" t="s">
        <v>10</v>
      </c>
      <c r="B12" s="5">
        <v>119</v>
      </c>
      <c r="C12" s="5">
        <v>4</v>
      </c>
      <c r="D12" s="5"/>
    </row>
    <row r="13" spans="1:5" x14ac:dyDescent="0.3">
      <c r="A13" s="4" t="s">
        <v>11</v>
      </c>
      <c r="B13" s="5">
        <v>3</v>
      </c>
      <c r="C13" s="5">
        <v>0</v>
      </c>
      <c r="D13" s="5"/>
    </row>
    <row r="14" spans="1:5" x14ac:dyDescent="0.3">
      <c r="A14" s="4" t="s">
        <v>12</v>
      </c>
      <c r="B14" s="8">
        <v>0</v>
      </c>
      <c r="C14" s="7">
        <v>0</v>
      </c>
      <c r="D14" s="5"/>
    </row>
    <row r="15" spans="1:5" x14ac:dyDescent="0.3">
      <c r="A15" s="4" t="s">
        <v>13</v>
      </c>
      <c r="B15" s="5">
        <v>3</v>
      </c>
      <c r="C15" s="5">
        <v>0</v>
      </c>
      <c r="D15" s="5" t="s">
        <v>231</v>
      </c>
    </row>
    <row r="16" spans="1:5" x14ac:dyDescent="0.3">
      <c r="A16" s="4" t="s">
        <v>14</v>
      </c>
      <c r="B16" s="5">
        <v>0</v>
      </c>
      <c r="C16" s="5">
        <v>0</v>
      </c>
      <c r="D16" s="5"/>
    </row>
    <row r="17" spans="1:9" x14ac:dyDescent="0.3">
      <c r="B17" s="3"/>
    </row>
    <row r="20" spans="1:9" x14ac:dyDescent="0.3">
      <c r="A20" s="1" t="s">
        <v>122</v>
      </c>
    </row>
    <row r="21" spans="1:9" s="3" customFormat="1" x14ac:dyDescent="0.3">
      <c r="A21" s="33" t="s">
        <v>509</v>
      </c>
      <c r="B21" s="8"/>
    </row>
    <row r="22" spans="1:9" s="3" customFormat="1" x14ac:dyDescent="0.3">
      <c r="A22" s="34" t="s">
        <v>516</v>
      </c>
      <c r="B22" s="8"/>
    </row>
    <row r="23" spans="1:9" s="3" customFormat="1" x14ac:dyDescent="0.3">
      <c r="A23" s="35" t="s">
        <v>471</v>
      </c>
      <c r="B23" s="8"/>
    </row>
    <row r="24" spans="1:9" s="3" customFormat="1" x14ac:dyDescent="0.3">
      <c r="A24" s="33" t="s">
        <v>513</v>
      </c>
      <c r="B24" s="8"/>
    </row>
    <row r="25" spans="1:9" s="3" customFormat="1" x14ac:dyDescent="0.3">
      <c r="A25" s="36" t="s">
        <v>514</v>
      </c>
      <c r="B25" s="8"/>
    </row>
    <row r="26" spans="1:9" s="3" customFormat="1" x14ac:dyDescent="0.3">
      <c r="A26" s="33" t="s">
        <v>515</v>
      </c>
      <c r="B26" s="8"/>
      <c r="I26" s="3" t="s">
        <v>414</v>
      </c>
    </row>
    <row r="27" spans="1:9" x14ac:dyDescent="0.3">
      <c r="A27" s="33" t="s">
        <v>512</v>
      </c>
    </row>
  </sheetData>
  <mergeCells count="1">
    <mergeCell ref="A1:D1"/>
  </mergeCells>
  <hyperlinks>
    <hyperlink ref="A21" r:id="rId1" display="** NT's official website does not disclose the number of current hospitalizations, but according to a news article, NWT's Chief Public Health Officer Dr. Kami Kandolato informed that 'in the last five weeks, there's only been two hospitalizations. Those patients recovered and there have been no ICU admissions, and no deaths related to COVID-19 since late March.'" xr:uid="{4FC6264C-3955-4A0B-9376-D976D9A7B365}"/>
    <hyperlink ref="A22" r:id="rId2" display="**** YT's official website is now informing the number of hospitalizations, which is 2 as of March 7th." xr:uid="{A9B76AFD-2D01-45CF-A71D-32D36BB61369}"/>
    <hyperlink ref="A23" r:id="rId3" xr:uid="{90512744-0ED1-4C25-A4AE-CF98AD642887}"/>
    <hyperlink ref="A24" r:id="rId4" display="*****NB's latest official report only informs the number of patients admitted for Covid-19, not including the number of patients that were admitted for other reasons and tested positive for Covid-19 later on." xr:uid="{7CDF4C02-6361-45CA-BE58-CCF0AFAE8B57}"/>
    <hyperlink ref="A26" r:id="rId5" display="*******SK's information was extracted from the latest official report from May 25th, covering the week of May 15th-21st." xr:uid="{9195BB51-6E01-4FDE-8095-BDB4AD14276C}"/>
    <hyperlink ref="A25" r:id="rId6" display="******MB's official website is no longer doing daily reporting. The information was extracted from the latest offical report from May 10th. Note that these are the numbers of new hospitalizations and ICU admissions for the May 1st-7th week. The numbers of" xr:uid="{2B9F04A2-3D88-4585-9636-E46FE4072D75}"/>
    <hyperlink ref="A27" r:id="rId7" xr:uid="{FB8E5DA9-6601-4485-8536-69C17B5839D6}"/>
  </hyperlinks>
  <pageMargins left="0.7" right="0.7" top="0.75" bottom="0.75" header="0.3" footer="0.3"/>
  <pageSetup orientation="portrait" r:id="rId8"/>
  <drawing r:id="rId9"/>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P24"/>
  <sheetViews>
    <sheetView zoomScale="110" zoomScaleNormal="130" workbookViewId="0">
      <selection activeCell="B16" sqref="B16"/>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278</v>
      </c>
      <c r="B1" s="44"/>
      <c r="C1" s="44"/>
      <c r="D1" s="44"/>
      <c r="E1" s="2"/>
    </row>
    <row r="2" spans="1:5" x14ac:dyDescent="0.3">
      <c r="B2" s="9" t="s">
        <v>1</v>
      </c>
      <c r="C2" s="10" t="s">
        <v>0</v>
      </c>
    </row>
    <row r="3" spans="1:5" ht="15" thickBot="1" x14ac:dyDescent="0.35">
      <c r="B3" s="20">
        <f>SUM(B4,B5,B6,B7,B8,B9,B10,B11,B12,B13,B16,B15,B14)</f>
        <v>2030</v>
      </c>
      <c r="C3" s="12">
        <f>SUM(C4,C5,C6,C7,C8,C9,,C10,C11,C12,C13,C16,C15,C14)</f>
        <v>475</v>
      </c>
    </row>
    <row r="4" spans="1:5" s="5" customFormat="1" x14ac:dyDescent="0.3">
      <c r="A4" s="4" t="s">
        <v>2</v>
      </c>
      <c r="B4" s="5">
        <f>284+C4</f>
        <v>381</v>
      </c>
      <c r="C4" s="5">
        <v>97</v>
      </c>
    </row>
    <row r="5" spans="1:5" x14ac:dyDescent="0.3">
      <c r="A5" s="4" t="s">
        <v>3</v>
      </c>
      <c r="B5" s="30">
        <f>419+C5</f>
        <v>495</v>
      </c>
      <c r="C5" s="30">
        <v>76</v>
      </c>
      <c r="D5" s="5"/>
    </row>
    <row r="6" spans="1:5" x14ac:dyDescent="0.3">
      <c r="A6" s="4" t="s">
        <v>4</v>
      </c>
      <c r="B6" s="19">
        <f>291+C6</f>
        <v>446</v>
      </c>
      <c r="C6" s="6">
        <v>155</v>
      </c>
      <c r="D6" s="5"/>
    </row>
    <row r="7" spans="1:5" x14ac:dyDescent="0.3">
      <c r="A7" s="4" t="s">
        <v>5</v>
      </c>
      <c r="B7" s="32">
        <f>227+C7</f>
        <v>280</v>
      </c>
      <c r="C7" s="5">
        <v>53</v>
      </c>
      <c r="D7" s="5"/>
    </row>
    <row r="8" spans="1:5" s="15" customFormat="1" x14ac:dyDescent="0.3">
      <c r="A8" s="14" t="s">
        <v>6</v>
      </c>
      <c r="B8" s="6">
        <f>13+C8</f>
        <v>21</v>
      </c>
      <c r="C8" s="6">
        <v>8</v>
      </c>
      <c r="D8" s="5"/>
    </row>
    <row r="9" spans="1:5" x14ac:dyDescent="0.3">
      <c r="A9" s="4" t="s">
        <v>7</v>
      </c>
      <c r="B9" s="5">
        <f>59+C9</f>
        <v>75</v>
      </c>
      <c r="C9" s="5">
        <v>16</v>
      </c>
      <c r="D9" s="5"/>
    </row>
    <row r="10" spans="1:5" x14ac:dyDescent="0.3">
      <c r="A10" s="4" t="s">
        <v>8</v>
      </c>
      <c r="B10" s="5">
        <f>92+C10</f>
        <v>108</v>
      </c>
      <c r="C10" s="5">
        <v>16</v>
      </c>
      <c r="D10" s="5"/>
    </row>
    <row r="11" spans="1:5" x14ac:dyDescent="0.3">
      <c r="A11" s="4" t="s">
        <v>9</v>
      </c>
      <c r="B11" s="5">
        <v>0</v>
      </c>
      <c r="C11" s="5">
        <v>0</v>
      </c>
      <c r="D11" s="5"/>
    </row>
    <row r="12" spans="1:5" x14ac:dyDescent="0.3">
      <c r="A12" s="4" t="s">
        <v>10</v>
      </c>
      <c r="B12" s="5">
        <f>99+C12</f>
        <v>134</v>
      </c>
      <c r="C12" s="5">
        <v>35</v>
      </c>
      <c r="D12" s="5"/>
    </row>
    <row r="13" spans="1:5" x14ac:dyDescent="0.3">
      <c r="A13" s="4" t="s">
        <v>11</v>
      </c>
      <c r="B13" s="5">
        <v>0</v>
      </c>
      <c r="C13" s="5">
        <v>0</v>
      </c>
      <c r="D13" s="5"/>
    </row>
    <row r="14" spans="1:5" x14ac:dyDescent="0.3">
      <c r="A14" s="4" t="s">
        <v>12</v>
      </c>
      <c r="B14" s="8">
        <f>61+C14</f>
        <v>80</v>
      </c>
      <c r="C14" s="7">
        <v>19</v>
      </c>
      <c r="D14" s="5"/>
    </row>
    <row r="15" spans="1:5" x14ac:dyDescent="0.3">
      <c r="A15" s="4" t="s">
        <v>13</v>
      </c>
      <c r="B15" s="5">
        <v>10</v>
      </c>
      <c r="C15" s="5">
        <v>0</v>
      </c>
      <c r="D15" s="5" t="s">
        <v>231</v>
      </c>
    </row>
    <row r="16" spans="1:5" x14ac:dyDescent="0.3">
      <c r="A16" s="4" t="s">
        <v>14</v>
      </c>
      <c r="B16" s="5">
        <v>0</v>
      </c>
      <c r="C16" s="5">
        <v>0</v>
      </c>
      <c r="D16" s="5"/>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P24"/>
  <sheetViews>
    <sheetView zoomScale="110" zoomScaleNormal="130" workbookViewId="0">
      <selection activeCell="B15" sqref="B15"/>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277</v>
      </c>
      <c r="B1" s="44"/>
      <c r="C1" s="44"/>
      <c r="D1" s="44"/>
      <c r="E1" s="2"/>
    </row>
    <row r="2" spans="1:5" x14ac:dyDescent="0.3">
      <c r="B2" s="9" t="s">
        <v>1</v>
      </c>
      <c r="C2" s="10" t="s">
        <v>0</v>
      </c>
    </row>
    <row r="3" spans="1:5" ht="15" thickBot="1" x14ac:dyDescent="0.35">
      <c r="B3" s="20">
        <f>SUM(B4,B5,B6,B7,B8,B9,B10,B11,B12,B13,B16,B15,B14)</f>
        <v>2097</v>
      </c>
      <c r="C3" s="12">
        <f>SUM(C4,C5,C6,C7,C8,C9,,C10,C11,C12,C13,C16,C15,C14)</f>
        <v>488</v>
      </c>
    </row>
    <row r="4" spans="1:5" s="5" customFormat="1" x14ac:dyDescent="0.3">
      <c r="A4" s="4" t="s">
        <v>2</v>
      </c>
      <c r="B4" s="5">
        <f>300+C4</f>
        <v>404</v>
      </c>
      <c r="C4" s="5">
        <v>104</v>
      </c>
    </row>
    <row r="5" spans="1:5" x14ac:dyDescent="0.3">
      <c r="A5" s="4" t="s">
        <v>3</v>
      </c>
      <c r="B5" s="30">
        <f>434+C5</f>
        <v>515</v>
      </c>
      <c r="C5" s="30">
        <v>81</v>
      </c>
      <c r="D5" s="5"/>
    </row>
    <row r="6" spans="1:5" x14ac:dyDescent="0.3">
      <c r="A6" s="4" t="s">
        <v>4</v>
      </c>
      <c r="B6" s="19">
        <f>296+C6</f>
        <v>451</v>
      </c>
      <c r="C6" s="6">
        <v>155</v>
      </c>
      <c r="D6" s="5"/>
    </row>
    <row r="7" spans="1:5" x14ac:dyDescent="0.3">
      <c r="A7" s="4" t="s">
        <v>5</v>
      </c>
      <c r="B7" s="32">
        <f>239+C7</f>
        <v>291</v>
      </c>
      <c r="C7" s="5">
        <v>52</v>
      </c>
      <c r="D7" s="5"/>
    </row>
    <row r="8" spans="1:5" s="15" customFormat="1" x14ac:dyDescent="0.3">
      <c r="A8" s="14" t="s">
        <v>6</v>
      </c>
      <c r="B8" s="6">
        <f>15+C8</f>
        <v>23</v>
      </c>
      <c r="C8" s="6">
        <v>8</v>
      </c>
      <c r="D8" s="5"/>
    </row>
    <row r="9" spans="1:5" x14ac:dyDescent="0.3">
      <c r="A9" s="4" t="s">
        <v>7</v>
      </c>
      <c r="B9" s="5">
        <f>66+C9</f>
        <v>81</v>
      </c>
      <c r="C9" s="5">
        <v>15</v>
      </c>
      <c r="D9" s="5"/>
    </row>
    <row r="10" spans="1:5" x14ac:dyDescent="0.3">
      <c r="A10" s="4" t="s">
        <v>8</v>
      </c>
      <c r="B10" s="5">
        <f>93+C10</f>
        <v>110</v>
      </c>
      <c r="C10" s="5">
        <v>17</v>
      </c>
      <c r="D10" s="5"/>
    </row>
    <row r="11" spans="1:5" x14ac:dyDescent="0.3">
      <c r="A11" s="4" t="s">
        <v>9</v>
      </c>
      <c r="B11" s="5">
        <v>0</v>
      </c>
      <c r="C11" s="5">
        <v>0</v>
      </c>
      <c r="D11" s="5"/>
    </row>
    <row r="12" spans="1:5" x14ac:dyDescent="0.3">
      <c r="A12" s="4" t="s">
        <v>10</v>
      </c>
      <c r="B12" s="5">
        <f>96+C12</f>
        <v>133</v>
      </c>
      <c r="C12" s="5">
        <v>37</v>
      </c>
      <c r="D12" s="5"/>
    </row>
    <row r="13" spans="1:5" x14ac:dyDescent="0.3">
      <c r="A13" s="4" t="s">
        <v>11</v>
      </c>
      <c r="B13" s="5">
        <v>0</v>
      </c>
      <c r="C13" s="5">
        <v>0</v>
      </c>
      <c r="D13" s="5"/>
    </row>
    <row r="14" spans="1:5" x14ac:dyDescent="0.3">
      <c r="A14" s="4" t="s">
        <v>12</v>
      </c>
      <c r="B14" s="8">
        <f>60+C14</f>
        <v>79</v>
      </c>
      <c r="C14" s="7">
        <v>19</v>
      </c>
      <c r="D14" s="5"/>
    </row>
    <row r="15" spans="1:5" x14ac:dyDescent="0.3">
      <c r="A15" s="4" t="s">
        <v>13</v>
      </c>
      <c r="B15" s="5">
        <v>10</v>
      </c>
      <c r="C15" s="5">
        <v>0</v>
      </c>
      <c r="D15" s="5" t="s">
        <v>231</v>
      </c>
    </row>
    <row r="16" spans="1:5" x14ac:dyDescent="0.3">
      <c r="A16" s="4" t="s">
        <v>14</v>
      </c>
      <c r="B16" s="5">
        <v>0</v>
      </c>
      <c r="C16" s="5">
        <v>0</v>
      </c>
      <c r="D16" s="5"/>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P24"/>
  <sheetViews>
    <sheetView zoomScale="110" zoomScaleNormal="130" workbookViewId="0">
      <selection activeCell="B16" sqref="B16"/>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276</v>
      </c>
      <c r="B1" s="44"/>
      <c r="C1" s="44"/>
      <c r="D1" s="44"/>
      <c r="E1" s="2"/>
    </row>
    <row r="2" spans="1:5" x14ac:dyDescent="0.3">
      <c r="B2" s="9" t="s">
        <v>1</v>
      </c>
      <c r="C2" s="10" t="s">
        <v>0</v>
      </c>
    </row>
    <row r="3" spans="1:5" ht="15" thickBot="1" x14ac:dyDescent="0.35">
      <c r="B3" s="20">
        <f>SUM(B4,B5,B6,B7,B8,B9,B10,B11,B12,B13,B16,B15,B14)</f>
        <v>1952</v>
      </c>
      <c r="C3" s="12">
        <f>SUM(C4,C5,C6,C7,C8,C9,,C10,C11,C12,C13,C16,C15,C14)</f>
        <v>497</v>
      </c>
    </row>
    <row r="4" spans="1:5" s="5" customFormat="1" x14ac:dyDescent="0.3">
      <c r="A4" s="4" t="s">
        <v>2</v>
      </c>
      <c r="B4" s="5">
        <f>291+C4</f>
        <v>406</v>
      </c>
      <c r="C4" s="5">
        <v>115</v>
      </c>
    </row>
    <row r="5" spans="1:5" x14ac:dyDescent="0.3">
      <c r="A5" s="4" t="s">
        <v>3</v>
      </c>
      <c r="B5" s="30">
        <f>455+C5</f>
        <v>545</v>
      </c>
      <c r="C5" s="30">
        <v>90</v>
      </c>
      <c r="D5" s="5"/>
    </row>
    <row r="6" spans="1:5" x14ac:dyDescent="0.3">
      <c r="A6" s="4" t="s">
        <v>4</v>
      </c>
      <c r="B6" s="19">
        <f>145+C6</f>
        <v>293</v>
      </c>
      <c r="C6" s="6">
        <v>148</v>
      </c>
      <c r="D6" s="5"/>
    </row>
    <row r="7" spans="1:5" x14ac:dyDescent="0.3">
      <c r="A7" s="4" t="s">
        <v>5</v>
      </c>
      <c r="B7" s="32">
        <f>226+C7</f>
        <v>271</v>
      </c>
      <c r="C7" s="5">
        <v>45</v>
      </c>
      <c r="D7" s="5"/>
    </row>
    <row r="8" spans="1:5" s="15" customFormat="1" x14ac:dyDescent="0.3">
      <c r="A8" s="14" t="s">
        <v>6</v>
      </c>
      <c r="B8" s="6">
        <f>14+C8</f>
        <v>19</v>
      </c>
      <c r="C8" s="6">
        <v>5</v>
      </c>
      <c r="D8" s="5"/>
    </row>
    <row r="9" spans="1:5" x14ac:dyDescent="0.3">
      <c r="A9" s="4" t="s">
        <v>7</v>
      </c>
      <c r="B9" s="5">
        <f>64+C9</f>
        <v>81</v>
      </c>
      <c r="C9" s="5">
        <v>17</v>
      </c>
      <c r="D9" s="5"/>
    </row>
    <row r="10" spans="1:5" x14ac:dyDescent="0.3">
      <c r="A10" s="4" t="s">
        <v>8</v>
      </c>
      <c r="B10" s="5">
        <f>98+C10</f>
        <v>117</v>
      </c>
      <c r="C10" s="5">
        <v>19</v>
      </c>
      <c r="D10" s="5"/>
    </row>
    <row r="11" spans="1:5" x14ac:dyDescent="0.3">
      <c r="A11" s="4" t="s">
        <v>9</v>
      </c>
      <c r="B11" s="5">
        <v>0</v>
      </c>
      <c r="C11" s="5">
        <v>0</v>
      </c>
      <c r="D11" s="5"/>
    </row>
    <row r="12" spans="1:5" x14ac:dyDescent="0.3">
      <c r="A12" s="4" t="s">
        <v>10</v>
      </c>
      <c r="B12" s="5">
        <f>91+C12</f>
        <v>130</v>
      </c>
      <c r="C12" s="5">
        <v>39</v>
      </c>
      <c r="D12" s="5"/>
    </row>
    <row r="13" spans="1:5" x14ac:dyDescent="0.3">
      <c r="A13" s="4" t="s">
        <v>11</v>
      </c>
      <c r="B13" s="5">
        <v>1</v>
      </c>
      <c r="C13" s="5">
        <v>0</v>
      </c>
      <c r="D13" s="5"/>
    </row>
    <row r="14" spans="1:5" x14ac:dyDescent="0.3">
      <c r="A14" s="4" t="s">
        <v>12</v>
      </c>
      <c r="B14" s="8">
        <f>60+C14</f>
        <v>79</v>
      </c>
      <c r="C14" s="7">
        <v>19</v>
      </c>
      <c r="D14" s="5"/>
    </row>
    <row r="15" spans="1:5" x14ac:dyDescent="0.3">
      <c r="A15" s="4" t="s">
        <v>13</v>
      </c>
      <c r="B15" s="5">
        <v>10</v>
      </c>
      <c r="C15" s="5">
        <v>0</v>
      </c>
      <c r="D15" s="5" t="s">
        <v>231</v>
      </c>
    </row>
    <row r="16" spans="1:5" x14ac:dyDescent="0.3">
      <c r="A16" s="4" t="s">
        <v>14</v>
      </c>
      <c r="B16" s="5">
        <v>0</v>
      </c>
      <c r="C16" s="5">
        <v>0</v>
      </c>
      <c r="D16" s="5"/>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P24"/>
  <sheetViews>
    <sheetView zoomScale="110" zoomScaleNormal="130" workbookViewId="0">
      <selection activeCell="H25" sqref="H25"/>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275</v>
      </c>
      <c r="B1" s="44"/>
      <c r="C1" s="44"/>
      <c r="D1" s="44"/>
      <c r="E1" s="2"/>
    </row>
    <row r="2" spans="1:5" x14ac:dyDescent="0.3">
      <c r="B2" s="9" t="s">
        <v>1</v>
      </c>
      <c r="C2" s="10" t="s">
        <v>0</v>
      </c>
    </row>
    <row r="3" spans="1:5" ht="15" thickBot="1" x14ac:dyDescent="0.35">
      <c r="B3" s="20">
        <f>SUM(B4,B5,B6,B7,B8,B9,B10,B11,B12,B13,B16,B15,B14)</f>
        <v>2044</v>
      </c>
      <c r="C3" s="12">
        <f>SUM(C4,C5,C6,C7,C8,C9,,C10,C11,C12,C13,C16,C15,C14)</f>
        <v>489</v>
      </c>
    </row>
    <row r="4" spans="1:5" s="5" customFormat="1" x14ac:dyDescent="0.3">
      <c r="A4" s="4" t="s">
        <v>2</v>
      </c>
      <c r="B4" s="5">
        <f>295+C4</f>
        <v>407</v>
      </c>
      <c r="C4" s="5">
        <v>112</v>
      </c>
    </row>
    <row r="5" spans="1:5" x14ac:dyDescent="0.3">
      <c r="A5" s="4" t="s">
        <v>3</v>
      </c>
      <c r="B5" s="30">
        <f>465+C5</f>
        <v>563</v>
      </c>
      <c r="C5" s="30">
        <v>98</v>
      </c>
      <c r="D5" s="5"/>
    </row>
    <row r="6" spans="1:5" x14ac:dyDescent="0.3">
      <c r="A6" s="4" t="s">
        <v>4</v>
      </c>
      <c r="B6" s="19">
        <f>257+C6</f>
        <v>394</v>
      </c>
      <c r="C6" s="6">
        <v>137</v>
      </c>
      <c r="D6" s="5"/>
    </row>
    <row r="7" spans="1:5" x14ac:dyDescent="0.3">
      <c r="A7" s="4" t="s">
        <v>5</v>
      </c>
      <c r="B7" s="32">
        <f>210+C7</f>
        <v>255</v>
      </c>
      <c r="C7" s="5">
        <v>45</v>
      </c>
      <c r="D7" s="5"/>
    </row>
    <row r="8" spans="1:5" s="15" customFormat="1" x14ac:dyDescent="0.3">
      <c r="A8" s="14" t="s">
        <v>6</v>
      </c>
      <c r="B8" s="6">
        <f>17+C8</f>
        <v>22</v>
      </c>
      <c r="C8" s="6">
        <v>5</v>
      </c>
      <c r="D8" s="5"/>
    </row>
    <row r="9" spans="1:5" x14ac:dyDescent="0.3">
      <c r="A9" s="4" t="s">
        <v>7</v>
      </c>
      <c r="B9" s="5">
        <f>54+C9</f>
        <v>72</v>
      </c>
      <c r="C9" s="5">
        <v>18</v>
      </c>
      <c r="D9" s="5"/>
    </row>
    <row r="10" spans="1:5" x14ac:dyDescent="0.3">
      <c r="A10" s="4" t="s">
        <v>8</v>
      </c>
      <c r="B10" s="5">
        <f>86+C10</f>
        <v>103</v>
      </c>
      <c r="C10" s="5">
        <v>17</v>
      </c>
      <c r="D10" s="5"/>
    </row>
    <row r="11" spans="1:5" x14ac:dyDescent="0.3">
      <c r="A11" s="4" t="s">
        <v>9</v>
      </c>
      <c r="B11" s="5">
        <v>0</v>
      </c>
      <c r="C11" s="5">
        <v>0</v>
      </c>
      <c r="D11" s="5"/>
    </row>
    <row r="12" spans="1:5" x14ac:dyDescent="0.3">
      <c r="A12" s="4" t="s">
        <v>10</v>
      </c>
      <c r="B12" s="5">
        <f>104+C12</f>
        <v>142</v>
      </c>
      <c r="C12" s="5">
        <v>38</v>
      </c>
      <c r="D12" s="5"/>
    </row>
    <row r="13" spans="1:5" x14ac:dyDescent="0.3">
      <c r="A13" s="4" t="s">
        <v>11</v>
      </c>
      <c r="B13" s="5">
        <v>1</v>
      </c>
      <c r="C13" s="5">
        <v>0</v>
      </c>
      <c r="D13" s="5"/>
    </row>
    <row r="14" spans="1:5" x14ac:dyDescent="0.3">
      <c r="A14" s="4" t="s">
        <v>12</v>
      </c>
      <c r="B14" s="8">
        <f>60+C14</f>
        <v>79</v>
      </c>
      <c r="C14" s="7">
        <v>19</v>
      </c>
      <c r="D14" s="5"/>
    </row>
    <row r="15" spans="1:5" x14ac:dyDescent="0.3">
      <c r="A15" s="4" t="s">
        <v>13</v>
      </c>
      <c r="B15" s="5">
        <v>6</v>
      </c>
      <c r="C15" s="5">
        <v>0</v>
      </c>
      <c r="D15" s="5" t="s">
        <v>231</v>
      </c>
    </row>
    <row r="16" spans="1:5" x14ac:dyDescent="0.3">
      <c r="A16" s="4" t="s">
        <v>14</v>
      </c>
      <c r="B16" s="5">
        <v>0</v>
      </c>
      <c r="C16" s="5">
        <v>0</v>
      </c>
      <c r="D16" s="5"/>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P24"/>
  <sheetViews>
    <sheetView zoomScale="110" zoomScaleNormal="130" workbookViewId="0">
      <selection activeCell="B15" sqref="B15"/>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274</v>
      </c>
      <c r="B1" s="44"/>
      <c r="C1" s="44"/>
      <c r="D1" s="44"/>
      <c r="E1" s="2"/>
    </row>
    <row r="2" spans="1:5" x14ac:dyDescent="0.3">
      <c r="B2" s="9" t="s">
        <v>1</v>
      </c>
      <c r="C2" s="10" t="s">
        <v>0</v>
      </c>
    </row>
    <row r="3" spans="1:5" ht="15" thickBot="1" x14ac:dyDescent="0.35">
      <c r="B3" s="20">
        <f>SUM(B4,B5,B6,B7,B8,B9,B10,B11,B12,B13,B16,B15,B14)</f>
        <v>2159</v>
      </c>
      <c r="C3" s="12">
        <f>SUM(C4,C5,C6,C7,C8,C9,,C10,C11,C12,C13,C16,C15,C14)</f>
        <v>487</v>
      </c>
    </row>
    <row r="4" spans="1:5" s="5" customFormat="1" x14ac:dyDescent="0.3">
      <c r="A4" s="4" t="s">
        <v>2</v>
      </c>
      <c r="B4" s="5">
        <f>345+C4</f>
        <v>460</v>
      </c>
      <c r="C4" s="5">
        <v>115</v>
      </c>
    </row>
    <row r="5" spans="1:5" x14ac:dyDescent="0.3">
      <c r="A5" s="4" t="s">
        <v>3</v>
      </c>
      <c r="B5" s="30">
        <f>475+C5</f>
        <v>569</v>
      </c>
      <c r="C5" s="30">
        <v>94</v>
      </c>
      <c r="D5" s="5"/>
    </row>
    <row r="6" spans="1:5" x14ac:dyDescent="0.3">
      <c r="A6" s="4" t="s">
        <v>4</v>
      </c>
      <c r="B6" s="19">
        <f>289+C6</f>
        <v>426</v>
      </c>
      <c r="C6" s="6">
        <v>137</v>
      </c>
      <c r="D6" s="5"/>
    </row>
    <row r="7" spans="1:5" x14ac:dyDescent="0.3">
      <c r="A7" s="4" t="s">
        <v>5</v>
      </c>
      <c r="B7" s="32">
        <f>211+C7</f>
        <v>257</v>
      </c>
      <c r="C7" s="5">
        <v>46</v>
      </c>
      <c r="D7" s="5"/>
    </row>
    <row r="8" spans="1:5" s="15" customFormat="1" x14ac:dyDescent="0.3">
      <c r="A8" s="14" t="s">
        <v>6</v>
      </c>
      <c r="B8" s="6">
        <f>18+C8</f>
        <v>25</v>
      </c>
      <c r="C8" s="6">
        <v>7</v>
      </c>
      <c r="D8" s="5"/>
    </row>
    <row r="9" spans="1:5" x14ac:dyDescent="0.3">
      <c r="A9" s="4" t="s">
        <v>7</v>
      </c>
      <c r="B9" s="5">
        <f>45+C9</f>
        <v>63</v>
      </c>
      <c r="C9" s="5">
        <v>18</v>
      </c>
      <c r="D9" s="5"/>
    </row>
    <row r="10" spans="1:5" x14ac:dyDescent="0.3">
      <c r="A10" s="4" t="s">
        <v>8</v>
      </c>
      <c r="B10" s="5">
        <f>107+C10</f>
        <v>124</v>
      </c>
      <c r="C10" s="5">
        <v>17</v>
      </c>
      <c r="D10" s="5"/>
    </row>
    <row r="11" spans="1:5" x14ac:dyDescent="0.3">
      <c r="A11" s="4" t="s">
        <v>9</v>
      </c>
      <c r="B11" s="5">
        <v>0</v>
      </c>
      <c r="C11" s="5">
        <v>0</v>
      </c>
      <c r="D11" s="5"/>
    </row>
    <row r="12" spans="1:5" x14ac:dyDescent="0.3">
      <c r="A12" s="4" t="s">
        <v>10</v>
      </c>
      <c r="B12" s="5">
        <f>115+C12</f>
        <v>149</v>
      </c>
      <c r="C12" s="5">
        <v>34</v>
      </c>
      <c r="D12" s="5"/>
    </row>
    <row r="13" spans="1:5" x14ac:dyDescent="0.3">
      <c r="A13" s="4" t="s">
        <v>11</v>
      </c>
      <c r="B13" s="5">
        <v>1</v>
      </c>
      <c r="C13" s="5">
        <v>0</v>
      </c>
      <c r="D13" s="5"/>
    </row>
    <row r="14" spans="1:5" x14ac:dyDescent="0.3">
      <c r="A14" s="4" t="s">
        <v>12</v>
      </c>
      <c r="B14" s="8">
        <f>60+C14</f>
        <v>79</v>
      </c>
      <c r="C14" s="7">
        <v>19</v>
      </c>
      <c r="D14" s="5"/>
    </row>
    <row r="15" spans="1:5" x14ac:dyDescent="0.3">
      <c r="A15" s="4" t="s">
        <v>13</v>
      </c>
      <c r="B15" s="5">
        <v>6</v>
      </c>
      <c r="C15" s="5">
        <v>0</v>
      </c>
      <c r="D15" s="5" t="s">
        <v>231</v>
      </c>
    </row>
    <row r="16" spans="1:5" x14ac:dyDescent="0.3">
      <c r="A16" s="4" t="s">
        <v>14</v>
      </c>
      <c r="B16" s="5">
        <v>0</v>
      </c>
      <c r="C16" s="5">
        <v>0</v>
      </c>
      <c r="D16" s="5"/>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P24"/>
  <sheetViews>
    <sheetView zoomScale="110" zoomScaleNormal="130" workbookViewId="0">
      <selection activeCell="J22" sqref="J22"/>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273</v>
      </c>
      <c r="B1" s="44"/>
      <c r="C1" s="44"/>
      <c r="D1" s="44"/>
      <c r="E1" s="2"/>
    </row>
    <row r="2" spans="1:5" x14ac:dyDescent="0.3">
      <c r="B2" s="9" t="s">
        <v>1</v>
      </c>
      <c r="C2" s="10" t="s">
        <v>0</v>
      </c>
    </row>
    <row r="3" spans="1:5" ht="15" thickBot="1" x14ac:dyDescent="0.35">
      <c r="B3" s="20">
        <f>SUM(B4,B5,B6,B7,B8,B9,B10,B11,B12,B13,B16,B15,B14)</f>
        <v>2007</v>
      </c>
      <c r="C3" s="12">
        <f>SUM(C4,C5,C6,C7,C8,C9,,C10,C11,C12,C13,C16,C15,C14)</f>
        <v>480</v>
      </c>
    </row>
    <row r="4" spans="1:5" s="5" customFormat="1" x14ac:dyDescent="0.3">
      <c r="A4" s="4" t="s">
        <v>2</v>
      </c>
      <c r="B4" s="5">
        <f>358+C4</f>
        <v>467</v>
      </c>
      <c r="C4" s="5">
        <v>109</v>
      </c>
    </row>
    <row r="5" spans="1:5" x14ac:dyDescent="0.3">
      <c r="A5" s="4" t="s">
        <v>3</v>
      </c>
      <c r="B5" s="30">
        <f>496+C5</f>
        <v>589</v>
      </c>
      <c r="C5" s="30">
        <v>93</v>
      </c>
      <c r="D5" s="5"/>
    </row>
    <row r="6" spans="1:5" x14ac:dyDescent="0.3">
      <c r="A6" s="4" t="s">
        <v>4</v>
      </c>
      <c r="B6" s="19">
        <f>136+C6</f>
        <v>269</v>
      </c>
      <c r="C6" s="6">
        <v>133</v>
      </c>
      <c r="D6" s="5"/>
    </row>
    <row r="7" spans="1:5" x14ac:dyDescent="0.3">
      <c r="A7" s="4" t="s">
        <v>5</v>
      </c>
      <c r="B7" s="32">
        <f>201+C7</f>
        <v>246</v>
      </c>
      <c r="C7" s="5">
        <v>45</v>
      </c>
      <c r="D7" s="5"/>
    </row>
    <row r="8" spans="1:5" s="15" customFormat="1" x14ac:dyDescent="0.3">
      <c r="A8" s="14" t="s">
        <v>6</v>
      </c>
      <c r="B8" s="6">
        <f>17+C8</f>
        <v>24</v>
      </c>
      <c r="C8" s="6">
        <v>7</v>
      </c>
      <c r="D8" s="5"/>
    </row>
    <row r="9" spans="1:5" x14ac:dyDescent="0.3">
      <c r="A9" s="4" t="s">
        <v>7</v>
      </c>
      <c r="B9" s="5">
        <f>32+C9</f>
        <v>50</v>
      </c>
      <c r="C9" s="5">
        <v>18</v>
      </c>
      <c r="D9" s="5"/>
    </row>
    <row r="10" spans="1:5" x14ac:dyDescent="0.3">
      <c r="A10" s="4" t="s">
        <v>8</v>
      </c>
      <c r="B10" s="5">
        <f>107+C10</f>
        <v>127</v>
      </c>
      <c r="C10" s="5">
        <v>20</v>
      </c>
      <c r="D10" s="5"/>
    </row>
    <row r="11" spans="1:5" x14ac:dyDescent="0.3">
      <c r="A11" s="4" t="s">
        <v>9</v>
      </c>
      <c r="B11" s="5">
        <v>0</v>
      </c>
      <c r="C11" s="5">
        <v>0</v>
      </c>
      <c r="D11" s="5"/>
    </row>
    <row r="12" spans="1:5" x14ac:dyDescent="0.3">
      <c r="A12" s="4" t="s">
        <v>10</v>
      </c>
      <c r="B12" s="5">
        <f>114+C12</f>
        <v>150</v>
      </c>
      <c r="C12" s="5">
        <v>36</v>
      </c>
      <c r="D12" s="5"/>
    </row>
    <row r="13" spans="1:5" x14ac:dyDescent="0.3">
      <c r="A13" s="4" t="s">
        <v>11</v>
      </c>
      <c r="B13" s="5">
        <v>0</v>
      </c>
      <c r="C13" s="5">
        <v>0</v>
      </c>
      <c r="D13" s="5"/>
    </row>
    <row r="14" spans="1:5" x14ac:dyDescent="0.3">
      <c r="A14" s="4" t="s">
        <v>12</v>
      </c>
      <c r="B14" s="8">
        <f>60+C14</f>
        <v>79</v>
      </c>
      <c r="C14" s="7">
        <v>19</v>
      </c>
      <c r="D14" s="5"/>
    </row>
    <row r="15" spans="1:5" x14ac:dyDescent="0.3">
      <c r="A15" s="4" t="s">
        <v>13</v>
      </c>
      <c r="B15" s="5">
        <v>6</v>
      </c>
      <c r="C15" s="5">
        <v>0</v>
      </c>
      <c r="D15" s="5" t="s">
        <v>231</v>
      </c>
    </row>
    <row r="16" spans="1:5" x14ac:dyDescent="0.3">
      <c r="A16" s="4" t="s">
        <v>14</v>
      </c>
      <c r="B16" s="5">
        <v>0</v>
      </c>
      <c r="C16" s="5">
        <v>0</v>
      </c>
      <c r="D16" s="5"/>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P24"/>
  <sheetViews>
    <sheetView zoomScale="110" zoomScaleNormal="130" workbookViewId="0">
      <selection activeCell="E22" sqref="E22"/>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272</v>
      </c>
      <c r="B1" s="44"/>
      <c r="C1" s="44"/>
      <c r="D1" s="44"/>
      <c r="E1" s="2"/>
    </row>
    <row r="2" spans="1:5" x14ac:dyDescent="0.3">
      <c r="B2" s="9" t="s">
        <v>1</v>
      </c>
      <c r="C2" s="10" t="s">
        <v>0</v>
      </c>
    </row>
    <row r="3" spans="1:5" ht="15" thickBot="1" x14ac:dyDescent="0.35">
      <c r="B3" s="20">
        <f>SUM(B4,B5,B6,B7,B8,B9,B10,B11,B12,B13,B16,B15,B14)</f>
        <v>2133</v>
      </c>
      <c r="C3" s="12">
        <f>SUM(C4,C5,C6,C7,C8,C9,,C10,C11,C12,C13,C16,C15,C14)</f>
        <v>478</v>
      </c>
    </row>
    <row r="4" spans="1:5" s="5" customFormat="1" x14ac:dyDescent="0.3">
      <c r="A4" s="4" t="s">
        <v>2</v>
      </c>
      <c r="B4" s="5">
        <f>355+C4</f>
        <v>465</v>
      </c>
      <c r="C4" s="5">
        <v>110</v>
      </c>
    </row>
    <row r="5" spans="1:5" x14ac:dyDescent="0.3">
      <c r="A5" s="4" t="s">
        <v>3</v>
      </c>
      <c r="B5" s="30">
        <f>498+C5</f>
        <v>592</v>
      </c>
      <c r="C5" s="30">
        <v>94</v>
      </c>
      <c r="D5" s="5"/>
    </row>
    <row r="6" spans="1:5" x14ac:dyDescent="0.3">
      <c r="A6" s="4" t="s">
        <v>4</v>
      </c>
      <c r="B6" s="19">
        <f>269+C6</f>
        <v>397</v>
      </c>
      <c r="C6" s="6">
        <v>128</v>
      </c>
      <c r="D6" s="5"/>
    </row>
    <row r="7" spans="1:5" x14ac:dyDescent="0.3">
      <c r="A7" s="4" t="s">
        <v>5</v>
      </c>
      <c r="B7" s="32">
        <f>201+C7</f>
        <v>246</v>
      </c>
      <c r="C7" s="5">
        <v>45</v>
      </c>
      <c r="D7" s="5"/>
    </row>
    <row r="8" spans="1:5" s="15" customFormat="1" x14ac:dyDescent="0.3">
      <c r="A8" s="14" t="s">
        <v>6</v>
      </c>
      <c r="B8" s="6">
        <f>17+C8</f>
        <v>24</v>
      </c>
      <c r="C8" s="6">
        <v>7</v>
      </c>
      <c r="D8" s="5"/>
    </row>
    <row r="9" spans="1:5" x14ac:dyDescent="0.3">
      <c r="A9" s="4" t="s">
        <v>7</v>
      </c>
      <c r="B9" s="5">
        <f>28+C9</f>
        <v>44</v>
      </c>
      <c r="C9" s="5">
        <v>16</v>
      </c>
      <c r="D9" s="5"/>
    </row>
    <row r="10" spans="1:5" x14ac:dyDescent="0.3">
      <c r="A10" s="4" t="s">
        <v>8</v>
      </c>
      <c r="B10" s="5">
        <f>107+C10</f>
        <v>127</v>
      </c>
      <c r="C10" s="5">
        <v>20</v>
      </c>
      <c r="D10" s="5"/>
    </row>
    <row r="11" spans="1:5" x14ac:dyDescent="0.3">
      <c r="A11" s="4" t="s">
        <v>9</v>
      </c>
      <c r="B11" s="5">
        <v>0</v>
      </c>
      <c r="C11" s="5">
        <v>0</v>
      </c>
      <c r="D11" s="5"/>
    </row>
    <row r="12" spans="1:5" x14ac:dyDescent="0.3">
      <c r="A12" s="4" t="s">
        <v>10</v>
      </c>
      <c r="B12" s="5">
        <f>118+C12</f>
        <v>157</v>
      </c>
      <c r="C12" s="5">
        <v>39</v>
      </c>
      <c r="D12" s="5"/>
    </row>
    <row r="13" spans="1:5" x14ac:dyDescent="0.3">
      <c r="A13" s="4" t="s">
        <v>11</v>
      </c>
      <c r="B13" s="5">
        <v>0</v>
      </c>
      <c r="C13" s="5">
        <v>0</v>
      </c>
      <c r="D13" s="5"/>
    </row>
    <row r="14" spans="1:5" x14ac:dyDescent="0.3">
      <c r="A14" s="4" t="s">
        <v>12</v>
      </c>
      <c r="B14" s="8">
        <f>60+C14</f>
        <v>79</v>
      </c>
      <c r="C14" s="7">
        <v>19</v>
      </c>
      <c r="D14" s="5"/>
    </row>
    <row r="15" spans="1:5" x14ac:dyDescent="0.3">
      <c r="A15" s="4" t="s">
        <v>13</v>
      </c>
      <c r="B15" s="5">
        <v>2</v>
      </c>
      <c r="C15" s="5">
        <v>0</v>
      </c>
      <c r="D15" s="5" t="s">
        <v>231</v>
      </c>
    </row>
    <row r="16" spans="1:5" x14ac:dyDescent="0.3">
      <c r="A16" s="4" t="s">
        <v>14</v>
      </c>
      <c r="B16" s="5">
        <v>0</v>
      </c>
      <c r="C16" s="5">
        <v>0</v>
      </c>
      <c r="D16" s="5"/>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P24"/>
  <sheetViews>
    <sheetView zoomScale="110" zoomScaleNormal="130" workbookViewId="0">
      <selection activeCell="D17" sqref="D17"/>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271</v>
      </c>
      <c r="B1" s="44"/>
      <c r="C1" s="44"/>
      <c r="D1" s="44"/>
      <c r="E1" s="2"/>
    </row>
    <row r="2" spans="1:5" x14ac:dyDescent="0.3">
      <c r="B2" s="9" t="s">
        <v>1</v>
      </c>
      <c r="C2" s="10" t="s">
        <v>0</v>
      </c>
    </row>
    <row r="3" spans="1:5" ht="15" thickBot="1" x14ac:dyDescent="0.35">
      <c r="B3" s="20">
        <f>SUM(B4,B5,B6,B7,B8,B9,B10,B11,B12,B13,B16,B15,B14)</f>
        <v>2231</v>
      </c>
      <c r="C3" s="12">
        <f>SUM(C4,C5,C6,C7,C8,C9,,C10,C11,C12,C13,C16,C15,C14)</f>
        <v>501</v>
      </c>
    </row>
    <row r="4" spans="1:5" s="5" customFormat="1" x14ac:dyDescent="0.3">
      <c r="A4" s="4" t="s">
        <v>2</v>
      </c>
      <c r="B4" s="5">
        <f>367+C4</f>
        <v>474</v>
      </c>
      <c r="C4" s="5">
        <v>107</v>
      </c>
    </row>
    <row r="5" spans="1:5" x14ac:dyDescent="0.3">
      <c r="A5" s="4" t="s">
        <v>3</v>
      </c>
      <c r="B5" s="30">
        <f>518+C5</f>
        <v>619</v>
      </c>
      <c r="C5" s="30">
        <v>101</v>
      </c>
      <c r="D5" s="5"/>
    </row>
    <row r="6" spans="1:5" x14ac:dyDescent="0.3">
      <c r="A6" s="4" t="s">
        <v>4</v>
      </c>
      <c r="B6" s="19">
        <f>274+C6</f>
        <v>407</v>
      </c>
      <c r="C6" s="6">
        <v>133</v>
      </c>
      <c r="D6" s="5"/>
    </row>
    <row r="7" spans="1:5" x14ac:dyDescent="0.3">
      <c r="A7" s="4" t="s">
        <v>5</v>
      </c>
      <c r="B7" s="32">
        <f>195+C7</f>
        <v>242</v>
      </c>
      <c r="C7" s="5">
        <v>47</v>
      </c>
      <c r="D7" s="5"/>
    </row>
    <row r="8" spans="1:5" s="15" customFormat="1" x14ac:dyDescent="0.3">
      <c r="A8" s="14" t="s">
        <v>6</v>
      </c>
      <c r="B8" s="6">
        <f>17+C8</f>
        <v>24</v>
      </c>
      <c r="C8" s="6">
        <v>7</v>
      </c>
      <c r="D8" s="5"/>
    </row>
    <row r="9" spans="1:5" x14ac:dyDescent="0.3">
      <c r="A9" s="4" t="s">
        <v>7</v>
      </c>
      <c r="B9" s="5">
        <f>22+C9</f>
        <v>36</v>
      </c>
      <c r="C9" s="5">
        <v>14</v>
      </c>
      <c r="D9" s="5"/>
    </row>
    <row r="10" spans="1:5" x14ac:dyDescent="0.3">
      <c r="A10" s="4" t="s">
        <v>8</v>
      </c>
      <c r="B10" s="5">
        <f>146+C10</f>
        <v>177</v>
      </c>
      <c r="C10" s="5">
        <v>31</v>
      </c>
      <c r="D10" s="5"/>
    </row>
    <row r="11" spans="1:5" x14ac:dyDescent="0.3">
      <c r="A11" s="4" t="s">
        <v>9</v>
      </c>
      <c r="B11" s="5">
        <v>0</v>
      </c>
      <c r="C11" s="5">
        <v>0</v>
      </c>
      <c r="D11" s="5"/>
    </row>
    <row r="12" spans="1:5" x14ac:dyDescent="0.3">
      <c r="A12" s="4" t="s">
        <v>10</v>
      </c>
      <c r="B12" s="5">
        <f>129+C12</f>
        <v>171</v>
      </c>
      <c r="C12" s="5">
        <v>42</v>
      </c>
      <c r="D12" s="5"/>
    </row>
    <row r="13" spans="1:5" x14ac:dyDescent="0.3">
      <c r="A13" s="4" t="s">
        <v>11</v>
      </c>
      <c r="B13" s="5">
        <v>0</v>
      </c>
      <c r="C13" s="5">
        <v>0</v>
      </c>
      <c r="D13" s="5"/>
    </row>
    <row r="14" spans="1:5" x14ac:dyDescent="0.3">
      <c r="A14" s="4" t="s">
        <v>12</v>
      </c>
      <c r="B14" s="8">
        <f>60+C14</f>
        <v>79</v>
      </c>
      <c r="C14" s="7">
        <v>19</v>
      </c>
      <c r="D14" s="5"/>
    </row>
    <row r="15" spans="1:5" x14ac:dyDescent="0.3">
      <c r="A15" s="4" t="s">
        <v>13</v>
      </c>
      <c r="B15" s="5">
        <v>2</v>
      </c>
      <c r="C15" s="5">
        <v>0</v>
      </c>
      <c r="D15" s="5" t="s">
        <v>231</v>
      </c>
    </row>
    <row r="16" spans="1:5" x14ac:dyDescent="0.3">
      <c r="A16" s="4" t="s">
        <v>14</v>
      </c>
      <c r="B16" s="5">
        <v>0</v>
      </c>
      <c r="C16" s="5">
        <v>0</v>
      </c>
      <c r="D16" s="5"/>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P24"/>
  <sheetViews>
    <sheetView zoomScale="110" zoomScaleNormal="130" workbookViewId="0">
      <selection activeCell="D8" sqref="D8"/>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270</v>
      </c>
      <c r="B1" s="44"/>
      <c r="C1" s="44"/>
      <c r="D1" s="44"/>
      <c r="E1" s="2"/>
    </row>
    <row r="2" spans="1:5" x14ac:dyDescent="0.3">
      <c r="B2" s="9" t="s">
        <v>1</v>
      </c>
      <c r="C2" s="10" t="s">
        <v>0</v>
      </c>
    </row>
    <row r="3" spans="1:5" ht="15" thickBot="1" x14ac:dyDescent="0.35">
      <c r="B3" s="20">
        <f>SUM(B4,B5,B6,B7,B8,B9,B10,B11,B12,B13,B16,B15,B14)</f>
        <v>2156</v>
      </c>
      <c r="C3" s="12">
        <f>SUM(C4,C5,C6,C7,C8,C9,,C10,C11,C12,C13,C16,C15,C14)</f>
        <v>517</v>
      </c>
    </row>
    <row r="4" spans="1:5" s="5" customFormat="1" x14ac:dyDescent="0.3">
      <c r="A4" s="4" t="s">
        <v>2</v>
      </c>
      <c r="B4" s="5">
        <f>384+C4</f>
        <v>508</v>
      </c>
      <c r="C4" s="5">
        <v>124</v>
      </c>
    </row>
    <row r="5" spans="1:5" x14ac:dyDescent="0.3">
      <c r="A5" s="4" t="s">
        <v>3</v>
      </c>
      <c r="B5" s="30">
        <f>554+C5</f>
        <v>664</v>
      </c>
      <c r="C5" s="30">
        <v>110</v>
      </c>
      <c r="D5" s="5"/>
    </row>
    <row r="6" spans="1:5" x14ac:dyDescent="0.3">
      <c r="A6" s="4" t="s">
        <v>4</v>
      </c>
      <c r="B6" s="19">
        <f>138+C6</f>
        <v>279</v>
      </c>
      <c r="C6" s="6">
        <v>141</v>
      </c>
      <c r="D6" s="5"/>
    </row>
    <row r="7" spans="1:5" x14ac:dyDescent="0.3">
      <c r="A7" s="4" t="s">
        <v>5</v>
      </c>
      <c r="B7" s="32">
        <f>202+C7</f>
        <v>244</v>
      </c>
      <c r="C7" s="5">
        <v>42</v>
      </c>
      <c r="D7" s="5"/>
    </row>
    <row r="8" spans="1:5" s="15" customFormat="1" x14ac:dyDescent="0.3">
      <c r="A8" s="14" t="s">
        <v>6</v>
      </c>
      <c r="B8" s="6">
        <f>10+C8</f>
        <v>11</v>
      </c>
      <c r="C8" s="6">
        <v>1</v>
      </c>
      <c r="D8" s="5"/>
    </row>
    <row r="9" spans="1:5" x14ac:dyDescent="0.3">
      <c r="A9" s="4" t="s">
        <v>7</v>
      </c>
      <c r="B9" s="5">
        <f>20+C9</f>
        <v>32</v>
      </c>
      <c r="C9" s="5">
        <v>12</v>
      </c>
      <c r="D9" s="5"/>
    </row>
    <row r="10" spans="1:5" x14ac:dyDescent="0.3">
      <c r="A10" s="4" t="s">
        <v>8</v>
      </c>
      <c r="B10" s="5">
        <f>145+C10</f>
        <v>168</v>
      </c>
      <c r="C10" s="5">
        <v>23</v>
      </c>
      <c r="D10" s="5"/>
    </row>
    <row r="11" spans="1:5" x14ac:dyDescent="0.3">
      <c r="A11" s="4" t="s">
        <v>9</v>
      </c>
      <c r="B11" s="5">
        <v>0</v>
      </c>
      <c r="C11" s="5">
        <v>0</v>
      </c>
      <c r="D11" s="5"/>
    </row>
    <row r="12" spans="1:5" x14ac:dyDescent="0.3">
      <c r="A12" s="4" t="s">
        <v>10</v>
      </c>
      <c r="B12" s="5">
        <f>123+C12</f>
        <v>168</v>
      </c>
      <c r="C12" s="5">
        <v>45</v>
      </c>
      <c r="D12" s="5"/>
    </row>
    <row r="13" spans="1:5" x14ac:dyDescent="0.3">
      <c r="A13" s="4" t="s">
        <v>11</v>
      </c>
      <c r="B13" s="5">
        <v>1</v>
      </c>
      <c r="C13" s="5">
        <v>0</v>
      </c>
      <c r="D13" s="5"/>
    </row>
    <row r="14" spans="1:5" x14ac:dyDescent="0.3">
      <c r="A14" s="4" t="s">
        <v>12</v>
      </c>
      <c r="B14" s="8">
        <f>60+C14</f>
        <v>79</v>
      </c>
      <c r="C14" s="7">
        <v>19</v>
      </c>
      <c r="D14" s="5"/>
    </row>
    <row r="15" spans="1:5" x14ac:dyDescent="0.3">
      <c r="A15" s="4" t="s">
        <v>13</v>
      </c>
      <c r="B15" s="5">
        <v>2</v>
      </c>
      <c r="C15" s="5">
        <v>0</v>
      </c>
      <c r="D15" s="5" t="s">
        <v>231</v>
      </c>
    </row>
    <row r="16" spans="1:5" x14ac:dyDescent="0.3">
      <c r="A16" s="4" t="s">
        <v>14</v>
      </c>
      <c r="B16" s="5">
        <v>0</v>
      </c>
      <c r="C16" s="5">
        <v>0</v>
      </c>
      <c r="D16" s="5"/>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P24"/>
  <sheetViews>
    <sheetView zoomScale="110" zoomScaleNormal="130" workbookViewId="0">
      <selection activeCell="B4" sqref="B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269</v>
      </c>
      <c r="B1" s="44"/>
      <c r="C1" s="44"/>
      <c r="D1" s="44"/>
      <c r="E1" s="2"/>
    </row>
    <row r="2" spans="1:5" x14ac:dyDescent="0.3">
      <c r="B2" s="9" t="s">
        <v>1</v>
      </c>
      <c r="C2" s="10" t="s">
        <v>0</v>
      </c>
    </row>
    <row r="3" spans="1:5" ht="15" thickBot="1" x14ac:dyDescent="0.35">
      <c r="B3" s="20">
        <f>SUM(B4,B5,B6,B7,B8,B9,B10,B11,B12,B13,B16,B15,B14)</f>
        <v>2349</v>
      </c>
      <c r="C3" s="12">
        <f>SUM(C4,C5,C6,C7,C8,C9,,C10,C11,C12,C13,C16,C15,C14)</f>
        <v>526</v>
      </c>
    </row>
    <row r="4" spans="1:5" s="5" customFormat="1" x14ac:dyDescent="0.3">
      <c r="A4" s="4" t="s">
        <v>2</v>
      </c>
      <c r="B4" s="5">
        <f>404+C4</f>
        <v>521</v>
      </c>
      <c r="C4" s="5">
        <v>117</v>
      </c>
    </row>
    <row r="5" spans="1:5" x14ac:dyDescent="0.3">
      <c r="A5" s="4" t="s">
        <v>3</v>
      </c>
      <c r="B5" s="30">
        <f>582+C5</f>
        <v>705</v>
      </c>
      <c r="C5" s="30">
        <v>123</v>
      </c>
      <c r="D5" s="5"/>
    </row>
    <row r="6" spans="1:5" x14ac:dyDescent="0.3">
      <c r="A6" s="4" t="s">
        <v>4</v>
      </c>
      <c r="B6" s="19">
        <f>251+C6</f>
        <v>383</v>
      </c>
      <c r="C6" s="6">
        <v>132</v>
      </c>
      <c r="D6" s="5"/>
    </row>
    <row r="7" spans="1:5" x14ac:dyDescent="0.3">
      <c r="A7" s="4" t="s">
        <v>5</v>
      </c>
      <c r="B7" s="32">
        <f>220+C7</f>
        <v>265</v>
      </c>
      <c r="C7" s="5">
        <v>45</v>
      </c>
      <c r="D7" s="5"/>
    </row>
    <row r="8" spans="1:5" s="15" customFormat="1" x14ac:dyDescent="0.3">
      <c r="A8" s="14" t="s">
        <v>6</v>
      </c>
      <c r="B8" s="6">
        <f>9+C8</f>
        <v>10</v>
      </c>
      <c r="C8" s="6">
        <v>1</v>
      </c>
      <c r="D8" s="5"/>
    </row>
    <row r="9" spans="1:5" x14ac:dyDescent="0.3">
      <c r="A9" s="4" t="s">
        <v>7</v>
      </c>
      <c r="B9" s="5">
        <f>17+C9</f>
        <v>28</v>
      </c>
      <c r="C9" s="5">
        <v>11</v>
      </c>
      <c r="D9" s="5"/>
    </row>
    <row r="10" spans="1:5" x14ac:dyDescent="0.3">
      <c r="A10" s="4" t="s">
        <v>8</v>
      </c>
      <c r="B10" s="5">
        <f>141+C10</f>
        <v>167</v>
      </c>
      <c r="C10" s="5">
        <v>26</v>
      </c>
      <c r="D10" s="5"/>
    </row>
    <row r="11" spans="1:5" x14ac:dyDescent="0.3">
      <c r="A11" s="4" t="s">
        <v>9</v>
      </c>
      <c r="B11" s="5">
        <v>0</v>
      </c>
      <c r="C11" s="5">
        <v>0</v>
      </c>
      <c r="D11" s="5"/>
    </row>
    <row r="12" spans="1:5" x14ac:dyDescent="0.3">
      <c r="A12" s="4" t="s">
        <v>10</v>
      </c>
      <c r="B12" s="5">
        <f>135+C12</f>
        <v>187</v>
      </c>
      <c r="C12" s="5">
        <v>52</v>
      </c>
      <c r="D12" s="5"/>
    </row>
    <row r="13" spans="1:5" x14ac:dyDescent="0.3">
      <c r="A13" s="4" t="s">
        <v>11</v>
      </c>
      <c r="B13" s="5">
        <v>2</v>
      </c>
      <c r="C13" s="5">
        <v>0</v>
      </c>
      <c r="D13" s="5"/>
    </row>
    <row r="14" spans="1:5" x14ac:dyDescent="0.3">
      <c r="A14" s="4" t="s">
        <v>12</v>
      </c>
      <c r="B14" s="8">
        <f>60+C14</f>
        <v>79</v>
      </c>
      <c r="C14" s="7">
        <v>19</v>
      </c>
      <c r="D14" s="5"/>
    </row>
    <row r="15" spans="1:5" x14ac:dyDescent="0.3">
      <c r="A15" s="4" t="s">
        <v>13</v>
      </c>
      <c r="B15" s="5">
        <v>2</v>
      </c>
      <c r="C15" s="5">
        <v>0</v>
      </c>
      <c r="D15" s="5" t="s">
        <v>231</v>
      </c>
    </row>
    <row r="16" spans="1:5" x14ac:dyDescent="0.3">
      <c r="A16" s="4" t="s">
        <v>14</v>
      </c>
      <c r="B16" s="5">
        <v>0</v>
      </c>
      <c r="C16" s="5">
        <v>0</v>
      </c>
      <c r="D16" s="5"/>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190FB-4CDB-45BB-96A5-1DE704A49971}">
  <dimension ref="A1:P27"/>
  <sheetViews>
    <sheetView zoomScaleNormal="100" workbookViewId="0">
      <selection activeCell="A22" sqref="A22"/>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510</v>
      </c>
      <c r="B1" s="44"/>
      <c r="C1" s="44"/>
      <c r="D1" s="44"/>
      <c r="E1" s="2"/>
    </row>
    <row r="2" spans="1:5" x14ac:dyDescent="0.3">
      <c r="B2" s="9" t="s">
        <v>1</v>
      </c>
      <c r="C2" s="10" t="s">
        <v>0</v>
      </c>
    </row>
    <row r="3" spans="1:5" ht="15" thickBot="1" x14ac:dyDescent="0.35">
      <c r="B3" s="20">
        <f>SUM(B4,B5,B6,B7,B8,B9,B10,B11,B12,B13,B16,B15,B14)</f>
        <v>3431</v>
      </c>
      <c r="C3" s="12">
        <f>SUM(C4,C5,C6,C7,C8,C9,,C10,C11,C12,C13,C16,C15,C14)</f>
        <v>226</v>
      </c>
    </row>
    <row r="4" spans="1:5" s="5" customFormat="1" x14ac:dyDescent="0.3">
      <c r="A4" s="4" t="s">
        <v>2</v>
      </c>
      <c r="B4" s="18">
        <v>369</v>
      </c>
      <c r="C4" s="5">
        <v>36</v>
      </c>
    </row>
    <row r="5" spans="1:5" x14ac:dyDescent="0.3">
      <c r="A5" s="4" t="s">
        <v>3</v>
      </c>
      <c r="B5" s="30">
        <v>568</v>
      </c>
      <c r="C5" s="30">
        <v>21</v>
      </c>
      <c r="D5" s="5"/>
    </row>
    <row r="6" spans="1:5" x14ac:dyDescent="0.3">
      <c r="A6" s="4" t="s">
        <v>4</v>
      </c>
      <c r="B6" s="19">
        <v>712</v>
      </c>
      <c r="C6" s="6">
        <v>110</v>
      </c>
      <c r="D6" s="5"/>
    </row>
    <row r="7" spans="1:5" x14ac:dyDescent="0.3">
      <c r="A7" s="4" t="s">
        <v>5</v>
      </c>
      <c r="B7" s="32">
        <v>1549</v>
      </c>
      <c r="C7" s="5">
        <v>41</v>
      </c>
      <c r="D7" s="5"/>
    </row>
    <row r="8" spans="1:5" s="15" customFormat="1" x14ac:dyDescent="0.3">
      <c r="A8" s="14" t="s">
        <v>6</v>
      </c>
      <c r="B8" s="6">
        <v>31</v>
      </c>
      <c r="C8" s="6">
        <v>4</v>
      </c>
      <c r="D8" s="5"/>
    </row>
    <row r="9" spans="1:5" x14ac:dyDescent="0.3">
      <c r="A9" s="4" t="s">
        <v>7</v>
      </c>
      <c r="B9" s="5">
        <v>19</v>
      </c>
      <c r="C9" s="5">
        <v>1</v>
      </c>
      <c r="D9" s="5"/>
    </row>
    <row r="10" spans="1:5" x14ac:dyDescent="0.3">
      <c r="A10" s="4" t="s">
        <v>8</v>
      </c>
      <c r="B10" s="5">
        <v>46</v>
      </c>
      <c r="C10" s="5">
        <v>7</v>
      </c>
      <c r="D10" s="5"/>
    </row>
    <row r="11" spans="1:5" x14ac:dyDescent="0.3">
      <c r="A11" s="4" t="s">
        <v>9</v>
      </c>
      <c r="B11" s="5">
        <v>10</v>
      </c>
      <c r="C11" s="5">
        <v>1</v>
      </c>
      <c r="D11" s="5"/>
    </row>
    <row r="12" spans="1:5" x14ac:dyDescent="0.3">
      <c r="A12" s="4" t="s">
        <v>10</v>
      </c>
      <c r="B12" s="5">
        <v>119</v>
      </c>
      <c r="C12" s="5">
        <v>4</v>
      </c>
      <c r="D12" s="5"/>
    </row>
    <row r="13" spans="1:5" x14ac:dyDescent="0.3">
      <c r="A13" s="4" t="s">
        <v>11</v>
      </c>
      <c r="B13" s="5">
        <v>8</v>
      </c>
      <c r="C13" s="5">
        <v>1</v>
      </c>
      <c r="D13" s="5"/>
    </row>
    <row r="14" spans="1:5" x14ac:dyDescent="0.3">
      <c r="A14" s="4" t="s">
        <v>12</v>
      </c>
      <c r="B14" s="8">
        <v>0</v>
      </c>
      <c r="C14" s="7">
        <v>0</v>
      </c>
      <c r="D14" s="5"/>
    </row>
    <row r="15" spans="1:5" x14ac:dyDescent="0.3">
      <c r="A15" s="4" t="s">
        <v>13</v>
      </c>
      <c r="B15" s="5">
        <v>0</v>
      </c>
      <c r="C15" s="5">
        <v>0</v>
      </c>
      <c r="D15" s="5" t="s">
        <v>231</v>
      </c>
    </row>
    <row r="16" spans="1:5" x14ac:dyDescent="0.3">
      <c r="A16" s="4" t="s">
        <v>14</v>
      </c>
      <c r="B16" s="5">
        <v>0</v>
      </c>
      <c r="C16" s="5">
        <v>0</v>
      </c>
      <c r="D16" s="5"/>
    </row>
    <row r="17" spans="1:9" x14ac:dyDescent="0.3">
      <c r="B17" s="3"/>
    </row>
    <row r="20" spans="1:9" x14ac:dyDescent="0.3">
      <c r="A20" s="1" t="s">
        <v>122</v>
      </c>
    </row>
    <row r="21" spans="1:9" s="3" customFormat="1" x14ac:dyDescent="0.3">
      <c r="A21" s="33" t="s">
        <v>509</v>
      </c>
      <c r="B21" s="8"/>
    </row>
    <row r="22" spans="1:9" s="3" customFormat="1" x14ac:dyDescent="0.3">
      <c r="A22" s="34" t="s">
        <v>503</v>
      </c>
      <c r="B22" s="8"/>
    </row>
    <row r="23" spans="1:9" s="3" customFormat="1" x14ac:dyDescent="0.3">
      <c r="A23" s="35" t="s">
        <v>471</v>
      </c>
      <c r="B23" s="8"/>
    </row>
    <row r="24" spans="1:9" s="3" customFormat="1" x14ac:dyDescent="0.3">
      <c r="A24" s="33" t="s">
        <v>506</v>
      </c>
      <c r="B24" s="8"/>
    </row>
    <row r="25" spans="1:9" s="3" customFormat="1" x14ac:dyDescent="0.3">
      <c r="A25" s="36" t="s">
        <v>507</v>
      </c>
      <c r="B25" s="8"/>
    </row>
    <row r="26" spans="1:9" s="3" customFormat="1" x14ac:dyDescent="0.3">
      <c r="A26" s="33" t="s">
        <v>508</v>
      </c>
      <c r="B26" s="8"/>
      <c r="I26" s="3" t="s">
        <v>414</v>
      </c>
    </row>
    <row r="27" spans="1:9" x14ac:dyDescent="0.3">
      <c r="A27" s="33" t="s">
        <v>505</v>
      </c>
    </row>
  </sheetData>
  <mergeCells count="1">
    <mergeCell ref="A1:D1"/>
  </mergeCells>
  <hyperlinks>
    <hyperlink ref="A21" r:id="rId1" display="** NT's official website does not disclose the number of current hospitalizations, but according to a news article, NWT's Chief Public Health Officer Dr. Kami Kandolato informed that 'in the last five weeks, there's only been two hospitalizations. Those patients recovered and there have been no ICU admissions, and no deaths related to COVID-19 since late March.'" xr:uid="{DF25D11D-DA5A-4FF7-A00A-AF7F914DCCB3}"/>
    <hyperlink ref="A22" r:id="rId2" display="**** YT's official website is now informing the number of hospitalizations, which is 2 as of March 7th." xr:uid="{519126C5-F42C-40B4-B0E4-A919EC913073}"/>
    <hyperlink ref="A23" r:id="rId3" xr:uid="{0AFA7808-27AA-4067-B691-4DFEE3C3FEB4}"/>
    <hyperlink ref="A24" r:id="rId4" display="*****NB's latest official report only informs the number of patients admitted for Covid-19, not including the number of patients that were admitted for other reasons and tested positive for Covid-19 later on." xr:uid="{F118C642-469F-48C4-906F-65C1E6445F5A}"/>
    <hyperlink ref="A26" r:id="rId5" display="*******SK's information was extracted from the latest official report from May 25th, covering the week of May 15th-21st." xr:uid="{32EAF508-54A3-4305-83FC-B15497295DF1}"/>
    <hyperlink ref="A25" r:id="rId6" display="******MB's official website is no longer doing daily reporting. The information was extracted from the latest offical report from May 10th. Note that these are the numbers of new hospitalizations and ICU admissions for the May 1st-7th week. The numbers of" xr:uid="{328A6BE6-B1DE-4405-8318-CF6D0009D614}"/>
    <hyperlink ref="A27" r:id="rId7" xr:uid="{33AEEC36-824A-48E7-AC33-19C6F2A21554}"/>
  </hyperlinks>
  <pageMargins left="0.7" right="0.7" top="0.75" bottom="0.75" header="0.3" footer="0.3"/>
  <pageSetup orientation="portrait" r:id="rId8"/>
  <drawing r:id="rId9"/>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P24"/>
  <sheetViews>
    <sheetView zoomScale="110" zoomScaleNormal="130" workbookViewId="0">
      <selection activeCell="B16" sqref="B16"/>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268</v>
      </c>
      <c r="B1" s="44"/>
      <c r="C1" s="44"/>
      <c r="D1" s="44"/>
      <c r="E1" s="2"/>
    </row>
    <row r="2" spans="1:5" x14ac:dyDescent="0.3">
      <c r="B2" s="9" t="s">
        <v>1</v>
      </c>
      <c r="C2" s="10" t="s">
        <v>0</v>
      </c>
    </row>
    <row r="3" spans="1:5" ht="15" thickBot="1" x14ac:dyDescent="0.35">
      <c r="B3" s="20">
        <f>SUM(B4,B5,B6,B7,B8,B9,B10,B11,B12,B13,B16,B15,B14)</f>
        <v>2321</v>
      </c>
      <c r="C3" s="12">
        <f>SUM(C4,C5,C6,C7,C8,C9,,C10,C11,C12,C13,C16,C15,C14)</f>
        <v>545</v>
      </c>
    </row>
    <row r="4" spans="1:5" s="5" customFormat="1" x14ac:dyDescent="0.3">
      <c r="A4" s="4" t="s">
        <v>2</v>
      </c>
      <c r="B4" s="5">
        <f>441+C4</f>
        <v>570</v>
      </c>
      <c r="C4" s="5">
        <v>129</v>
      </c>
    </row>
    <row r="5" spans="1:5" x14ac:dyDescent="0.3">
      <c r="A5" s="4" t="s">
        <v>3</v>
      </c>
      <c r="B5" s="30">
        <f>660+C5</f>
        <v>801</v>
      </c>
      <c r="C5" s="30">
        <v>141</v>
      </c>
      <c r="D5" s="5"/>
    </row>
    <row r="6" spans="1:5" x14ac:dyDescent="0.3">
      <c r="A6" s="4" t="s">
        <v>4</v>
      </c>
      <c r="B6" s="19">
        <f>105+C6</f>
        <v>232</v>
      </c>
      <c r="C6" s="6">
        <v>127</v>
      </c>
      <c r="D6" s="5"/>
    </row>
    <row r="7" spans="1:5" x14ac:dyDescent="0.3">
      <c r="A7" s="4" t="s">
        <v>5</v>
      </c>
      <c r="B7" s="32">
        <f>225+C7</f>
        <v>273</v>
      </c>
      <c r="C7" s="5">
        <v>48</v>
      </c>
      <c r="D7" s="5"/>
    </row>
    <row r="8" spans="1:5" s="15" customFormat="1" x14ac:dyDescent="0.3">
      <c r="A8" s="14" t="s">
        <v>6</v>
      </c>
      <c r="B8" s="6">
        <f>8+C8</f>
        <v>9</v>
      </c>
      <c r="C8" s="6">
        <v>1</v>
      </c>
      <c r="D8" s="5"/>
    </row>
    <row r="9" spans="1:5" x14ac:dyDescent="0.3">
      <c r="A9" s="4" t="s">
        <v>7</v>
      </c>
      <c r="B9" s="5">
        <f>15+C9</f>
        <v>24</v>
      </c>
      <c r="C9" s="5">
        <v>9</v>
      </c>
      <c r="D9" s="5"/>
    </row>
    <row r="10" spans="1:5" x14ac:dyDescent="0.3">
      <c r="A10" s="4" t="s">
        <v>8</v>
      </c>
      <c r="B10" s="5">
        <f>115+C10</f>
        <v>139</v>
      </c>
      <c r="C10" s="5">
        <v>24</v>
      </c>
      <c r="D10" s="5"/>
    </row>
    <row r="11" spans="1:5" x14ac:dyDescent="0.3">
      <c r="A11" s="4" t="s">
        <v>9</v>
      </c>
      <c r="B11" s="5">
        <v>0</v>
      </c>
      <c r="C11" s="5">
        <v>0</v>
      </c>
      <c r="D11" s="5"/>
    </row>
    <row r="12" spans="1:5" x14ac:dyDescent="0.3">
      <c r="A12" s="4" t="s">
        <v>10</v>
      </c>
      <c r="B12" s="5">
        <f>144+C12</f>
        <v>191</v>
      </c>
      <c r="C12" s="5">
        <v>47</v>
      </c>
      <c r="D12" s="5"/>
    </row>
    <row r="13" spans="1:5" x14ac:dyDescent="0.3">
      <c r="A13" s="4" t="s">
        <v>11</v>
      </c>
      <c r="B13" s="5">
        <v>1</v>
      </c>
      <c r="C13" s="5">
        <v>0</v>
      </c>
      <c r="D13" s="5"/>
    </row>
    <row r="14" spans="1:5" x14ac:dyDescent="0.3">
      <c r="A14" s="4" t="s">
        <v>12</v>
      </c>
      <c r="B14" s="8">
        <f>60+C14</f>
        <v>79</v>
      </c>
      <c r="C14" s="7">
        <v>19</v>
      </c>
      <c r="D14" s="5"/>
    </row>
    <row r="15" spans="1:5" x14ac:dyDescent="0.3">
      <c r="A15" s="4" t="s">
        <v>13</v>
      </c>
      <c r="B15" s="5">
        <v>2</v>
      </c>
      <c r="C15" s="5">
        <v>0</v>
      </c>
      <c r="D15" s="5" t="s">
        <v>231</v>
      </c>
    </row>
    <row r="16" spans="1:5" x14ac:dyDescent="0.3">
      <c r="A16" s="4" t="s">
        <v>14</v>
      </c>
      <c r="B16" s="5">
        <v>0</v>
      </c>
      <c r="C16" s="5">
        <v>0</v>
      </c>
      <c r="D16" s="5"/>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P24"/>
  <sheetViews>
    <sheetView zoomScale="110" zoomScaleNormal="130" workbookViewId="0">
      <selection activeCell="C18" sqref="C18"/>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267</v>
      </c>
      <c r="B1" s="44"/>
      <c r="C1" s="44"/>
      <c r="D1" s="44"/>
      <c r="E1" s="2"/>
    </row>
    <row r="2" spans="1:5" x14ac:dyDescent="0.3">
      <c r="B2" s="9" t="s">
        <v>1</v>
      </c>
      <c r="C2" s="10" t="s">
        <v>0</v>
      </c>
    </row>
    <row r="3" spans="1:5" ht="15" thickBot="1" x14ac:dyDescent="0.35">
      <c r="B3" s="20">
        <f>SUM(B4,B5,B6,B7,B8,B9,B10,B11,B12,B13,B16,B15,B14)</f>
        <v>2615</v>
      </c>
      <c r="C3" s="12">
        <f>SUM(C4,C5,C6,C7,C8,C9,,C10,C11,C12,C13,C16,C15,C14)</f>
        <v>570</v>
      </c>
    </row>
    <row r="4" spans="1:5" s="5" customFormat="1" x14ac:dyDescent="0.3">
      <c r="A4" s="4" t="s">
        <v>2</v>
      </c>
      <c r="B4" s="5">
        <f>438+C4</f>
        <v>568</v>
      </c>
      <c r="C4" s="5">
        <v>130</v>
      </c>
    </row>
    <row r="5" spans="1:5" x14ac:dyDescent="0.3">
      <c r="A5" s="4" t="s">
        <v>3</v>
      </c>
      <c r="B5" s="30">
        <f>677+C5</f>
        <v>823</v>
      </c>
      <c r="C5" s="30">
        <v>146</v>
      </c>
      <c r="D5" s="5"/>
    </row>
    <row r="6" spans="1:5" x14ac:dyDescent="0.3">
      <c r="A6" s="4" t="s">
        <v>4</v>
      </c>
      <c r="B6" s="19">
        <f>234+C6</f>
        <v>364</v>
      </c>
      <c r="C6" s="6">
        <v>130</v>
      </c>
      <c r="D6" s="5"/>
    </row>
    <row r="7" spans="1:5" x14ac:dyDescent="0.3">
      <c r="A7" s="4" t="s">
        <v>5</v>
      </c>
      <c r="B7" s="32">
        <f>241+C7</f>
        <v>304</v>
      </c>
      <c r="C7" s="5">
        <v>63</v>
      </c>
      <c r="D7" s="5"/>
    </row>
    <row r="8" spans="1:5" s="15" customFormat="1" x14ac:dyDescent="0.3">
      <c r="A8" s="14" t="s">
        <v>6</v>
      </c>
      <c r="B8" s="6">
        <f>8+C8</f>
        <v>9</v>
      </c>
      <c r="C8" s="6">
        <v>1</v>
      </c>
      <c r="D8" s="5"/>
    </row>
    <row r="9" spans="1:5" x14ac:dyDescent="0.3">
      <c r="A9" s="4" t="s">
        <v>7</v>
      </c>
      <c r="B9" s="5">
        <f>18+C9</f>
        <v>30</v>
      </c>
      <c r="C9" s="5">
        <v>12</v>
      </c>
      <c r="D9" s="5"/>
    </row>
    <row r="10" spans="1:5" x14ac:dyDescent="0.3">
      <c r="A10" s="4" t="s">
        <v>8</v>
      </c>
      <c r="B10" s="5">
        <f>115+C10</f>
        <v>139</v>
      </c>
      <c r="C10" s="5">
        <v>24</v>
      </c>
      <c r="D10" s="5"/>
    </row>
    <row r="11" spans="1:5" x14ac:dyDescent="0.3">
      <c r="A11" s="4" t="s">
        <v>9</v>
      </c>
      <c r="B11" s="5">
        <v>0</v>
      </c>
      <c r="C11" s="5">
        <v>0</v>
      </c>
      <c r="D11" s="5"/>
    </row>
    <row r="12" spans="1:5" x14ac:dyDescent="0.3">
      <c r="A12" s="4" t="s">
        <v>10</v>
      </c>
      <c r="B12" s="5">
        <f>165+C12</f>
        <v>210</v>
      </c>
      <c r="C12" s="5">
        <v>45</v>
      </c>
      <c r="D12" s="5"/>
    </row>
    <row r="13" spans="1:5" x14ac:dyDescent="0.3">
      <c r="A13" s="4" t="s">
        <v>11</v>
      </c>
      <c r="B13" s="5">
        <v>1</v>
      </c>
      <c r="C13" s="5">
        <v>0</v>
      </c>
      <c r="D13" s="5"/>
    </row>
    <row r="14" spans="1:5" x14ac:dyDescent="0.3">
      <c r="A14" s="4" t="s">
        <v>12</v>
      </c>
      <c r="B14" s="8">
        <f>61+C14</f>
        <v>80</v>
      </c>
      <c r="C14" s="7">
        <v>19</v>
      </c>
      <c r="D14" s="5"/>
    </row>
    <row r="15" spans="1:5" x14ac:dyDescent="0.3">
      <c r="A15" s="4" t="s">
        <v>13</v>
      </c>
      <c r="B15" s="5">
        <v>87</v>
      </c>
      <c r="C15" s="5">
        <v>0</v>
      </c>
      <c r="D15" s="5" t="s">
        <v>231</v>
      </c>
    </row>
    <row r="16" spans="1:5" x14ac:dyDescent="0.3">
      <c r="A16" s="4" t="s">
        <v>14</v>
      </c>
      <c r="B16" s="5">
        <v>0</v>
      </c>
      <c r="C16" s="5">
        <v>0</v>
      </c>
      <c r="D16" s="5"/>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P24"/>
  <sheetViews>
    <sheetView zoomScale="110" zoomScaleNormal="130" workbookViewId="0">
      <selection activeCell="I22" sqref="I22"/>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266</v>
      </c>
      <c r="B1" s="44"/>
      <c r="C1" s="44"/>
      <c r="D1" s="44"/>
      <c r="E1" s="2"/>
    </row>
    <row r="2" spans="1:5" x14ac:dyDescent="0.3">
      <c r="B2" s="9" t="s">
        <v>1</v>
      </c>
      <c r="C2" s="10" t="s">
        <v>0</v>
      </c>
    </row>
    <row r="3" spans="1:5" ht="15" thickBot="1" x14ac:dyDescent="0.35">
      <c r="B3" s="20">
        <f>SUM(B4,B5,B6,B7,B8,B9,B10,B11,B12,B13,B16,B15,B14)</f>
        <v>2685</v>
      </c>
      <c r="C3" s="12">
        <f>SUM(C4,C5,C6,C7,C8,C9,,C10,C11,C12,C13,C16,C15,C14)</f>
        <v>627</v>
      </c>
    </row>
    <row r="4" spans="1:5" s="5" customFormat="1" x14ac:dyDescent="0.3">
      <c r="A4" s="4" t="s">
        <v>2</v>
      </c>
      <c r="B4" s="5">
        <f>436+C4</f>
        <v>591</v>
      </c>
      <c r="C4" s="5">
        <v>155</v>
      </c>
    </row>
    <row r="5" spans="1:5" x14ac:dyDescent="0.3">
      <c r="A5" s="4" t="s">
        <v>3</v>
      </c>
      <c r="B5" s="30">
        <f>691+C5</f>
        <v>850</v>
      </c>
      <c r="C5" s="30">
        <v>159</v>
      </c>
      <c r="D5" s="5"/>
    </row>
    <row r="6" spans="1:5" x14ac:dyDescent="0.3">
      <c r="A6" s="4" t="s">
        <v>4</v>
      </c>
      <c r="B6" s="19">
        <f>237+C6</f>
        <v>374</v>
      </c>
      <c r="C6" s="6">
        <v>137</v>
      </c>
      <c r="D6" s="5"/>
    </row>
    <row r="7" spans="1:5" x14ac:dyDescent="0.3">
      <c r="A7" s="4" t="s">
        <v>5</v>
      </c>
      <c r="B7" s="32">
        <f>248+C7</f>
        <v>318</v>
      </c>
      <c r="C7" s="5">
        <v>70</v>
      </c>
      <c r="D7" s="5"/>
    </row>
    <row r="8" spans="1:5" s="15" customFormat="1" x14ac:dyDescent="0.3">
      <c r="A8" s="14" t="s">
        <v>6</v>
      </c>
      <c r="B8" s="6">
        <f>8+C8</f>
        <v>8</v>
      </c>
      <c r="C8" s="6">
        <v>0</v>
      </c>
      <c r="D8" s="5"/>
    </row>
    <row r="9" spans="1:5" x14ac:dyDescent="0.3">
      <c r="A9" s="4" t="s">
        <v>7</v>
      </c>
      <c r="B9" s="5">
        <f>24+C9</f>
        <v>38</v>
      </c>
      <c r="C9" s="5">
        <v>14</v>
      </c>
      <c r="D9" s="5"/>
    </row>
    <row r="10" spans="1:5" x14ac:dyDescent="0.3">
      <c r="A10" s="4" t="s">
        <v>8</v>
      </c>
      <c r="B10" s="5">
        <f>98+C10</f>
        <v>123</v>
      </c>
      <c r="C10" s="5">
        <v>25</v>
      </c>
      <c r="D10" s="5"/>
    </row>
    <row r="11" spans="1:5" x14ac:dyDescent="0.3">
      <c r="A11" s="4" t="s">
        <v>9</v>
      </c>
      <c r="B11" s="5">
        <v>0</v>
      </c>
      <c r="C11" s="5">
        <v>0</v>
      </c>
      <c r="D11" s="5"/>
    </row>
    <row r="12" spans="1:5" x14ac:dyDescent="0.3">
      <c r="A12" s="4" t="s">
        <v>10</v>
      </c>
      <c r="B12" s="5">
        <f>174+C12</f>
        <v>222</v>
      </c>
      <c r="C12" s="5">
        <v>48</v>
      </c>
      <c r="D12" s="5"/>
    </row>
    <row r="13" spans="1:5" x14ac:dyDescent="0.3">
      <c r="A13" s="4" t="s">
        <v>11</v>
      </c>
      <c r="B13" s="5">
        <v>1</v>
      </c>
      <c r="C13" s="5">
        <v>0</v>
      </c>
      <c r="D13" s="5"/>
    </row>
    <row r="14" spans="1:5" x14ac:dyDescent="0.3">
      <c r="A14" s="4" t="s">
        <v>12</v>
      </c>
      <c r="B14" s="8">
        <f>61+C14</f>
        <v>80</v>
      </c>
      <c r="C14" s="7">
        <v>19</v>
      </c>
      <c r="D14" s="5"/>
    </row>
    <row r="15" spans="1:5" x14ac:dyDescent="0.3">
      <c r="A15" s="4" t="s">
        <v>13</v>
      </c>
      <c r="B15" s="5">
        <v>80</v>
      </c>
      <c r="C15" s="5">
        <v>0</v>
      </c>
      <c r="D15" s="5" t="s">
        <v>231</v>
      </c>
    </row>
    <row r="16" spans="1:5" x14ac:dyDescent="0.3">
      <c r="A16" s="4" t="s">
        <v>14</v>
      </c>
      <c r="B16" s="5">
        <v>0</v>
      </c>
      <c r="C16" s="5">
        <v>0</v>
      </c>
      <c r="D16" s="5"/>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P24"/>
  <sheetViews>
    <sheetView zoomScale="110" zoomScaleNormal="130" workbookViewId="0">
      <selection activeCell="B4" sqref="B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265</v>
      </c>
      <c r="B1" s="44"/>
      <c r="C1" s="44"/>
      <c r="D1" s="44"/>
      <c r="E1" s="2"/>
    </row>
    <row r="2" spans="1:5" x14ac:dyDescent="0.3">
      <c r="B2" s="9" t="s">
        <v>1</v>
      </c>
      <c r="C2" s="10" t="s">
        <v>0</v>
      </c>
    </row>
    <row r="3" spans="1:5" ht="15" thickBot="1" x14ac:dyDescent="0.35">
      <c r="B3" s="20">
        <f>SUM(B4,B5,B6,B7,B8,B9,B10,B11,B12,B13,B16,B15,B14)</f>
        <v>2658</v>
      </c>
      <c r="C3" s="12">
        <f>SUM(C4,C5,C6,C7,C8,C9,,C10,C11,C12,C13,C16,C15,C14)</f>
        <v>646</v>
      </c>
    </row>
    <row r="4" spans="1:5" s="5" customFormat="1" x14ac:dyDescent="0.3">
      <c r="A4" s="4" t="s">
        <v>2</v>
      </c>
      <c r="B4" s="5">
        <f>436+C4</f>
        <v>591</v>
      </c>
      <c r="C4" s="5">
        <v>155</v>
      </c>
    </row>
    <row r="5" spans="1:5" x14ac:dyDescent="0.3">
      <c r="A5" s="4" t="s">
        <v>3</v>
      </c>
      <c r="B5" s="30">
        <f>765+C5</f>
        <v>945</v>
      </c>
      <c r="C5" s="30">
        <v>180</v>
      </c>
      <c r="D5" s="5"/>
    </row>
    <row r="6" spans="1:5" x14ac:dyDescent="0.3">
      <c r="A6" s="4" t="s">
        <v>4</v>
      </c>
      <c r="B6" s="19">
        <f>134+C6</f>
        <v>267</v>
      </c>
      <c r="C6" s="6">
        <v>133</v>
      </c>
      <c r="D6" s="5"/>
    </row>
    <row r="7" spans="1:5" x14ac:dyDescent="0.3">
      <c r="A7" s="4" t="s">
        <v>5</v>
      </c>
      <c r="B7" s="32">
        <f>244+C7</f>
        <v>311</v>
      </c>
      <c r="C7" s="5">
        <v>67</v>
      </c>
      <c r="D7" s="5"/>
    </row>
    <row r="8" spans="1:5" s="15" customFormat="1" x14ac:dyDescent="0.3">
      <c r="A8" s="14" t="s">
        <v>6</v>
      </c>
      <c r="B8" s="6">
        <f>10+C8</f>
        <v>10</v>
      </c>
      <c r="C8" s="6">
        <v>0</v>
      </c>
      <c r="D8" s="5"/>
    </row>
    <row r="9" spans="1:5" x14ac:dyDescent="0.3">
      <c r="A9" s="4" t="s">
        <v>7</v>
      </c>
      <c r="B9" s="5">
        <f>23+C9</f>
        <v>36</v>
      </c>
      <c r="C9" s="5">
        <v>13</v>
      </c>
      <c r="D9" s="5"/>
    </row>
    <row r="10" spans="1:5" x14ac:dyDescent="0.3">
      <c r="A10" s="4" t="s">
        <v>8</v>
      </c>
      <c r="B10" s="5">
        <f>98+C10</f>
        <v>123</v>
      </c>
      <c r="C10" s="5">
        <v>25</v>
      </c>
      <c r="D10" s="5"/>
    </row>
    <row r="11" spans="1:5" x14ac:dyDescent="0.3">
      <c r="A11" s="4" t="s">
        <v>9</v>
      </c>
      <c r="B11" s="5">
        <v>0</v>
      </c>
      <c r="C11" s="5">
        <v>0</v>
      </c>
      <c r="D11" s="5"/>
    </row>
    <row r="12" spans="1:5" x14ac:dyDescent="0.3">
      <c r="A12" s="4" t="s">
        <v>10</v>
      </c>
      <c r="B12" s="5">
        <f>172+C12</f>
        <v>226</v>
      </c>
      <c r="C12" s="5">
        <v>54</v>
      </c>
      <c r="D12" s="5"/>
    </row>
    <row r="13" spans="1:5" x14ac:dyDescent="0.3">
      <c r="A13" s="4" t="s">
        <v>11</v>
      </c>
      <c r="B13" s="5">
        <v>1</v>
      </c>
      <c r="C13" s="5">
        <v>0</v>
      </c>
      <c r="D13" s="5"/>
    </row>
    <row r="14" spans="1:5" x14ac:dyDescent="0.3">
      <c r="A14" s="4" t="s">
        <v>12</v>
      </c>
      <c r="B14" s="8">
        <f>59+C14</f>
        <v>78</v>
      </c>
      <c r="C14" s="7">
        <v>19</v>
      </c>
      <c r="D14" s="5"/>
    </row>
    <row r="15" spans="1:5" x14ac:dyDescent="0.3">
      <c r="A15" s="4" t="s">
        <v>13</v>
      </c>
      <c r="B15" s="5">
        <v>70</v>
      </c>
      <c r="C15" s="5">
        <v>0</v>
      </c>
      <c r="D15" s="5" t="s">
        <v>231</v>
      </c>
    </row>
    <row r="16" spans="1:5" x14ac:dyDescent="0.3">
      <c r="A16" s="4" t="s">
        <v>14</v>
      </c>
      <c r="B16" s="5">
        <v>0</v>
      </c>
      <c r="C16" s="5">
        <v>0</v>
      </c>
      <c r="D16" s="5"/>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P24"/>
  <sheetViews>
    <sheetView zoomScale="110" zoomScaleNormal="130" workbookViewId="0">
      <selection activeCell="B16" sqref="B16"/>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264</v>
      </c>
      <c r="B1" s="44"/>
      <c r="C1" s="44"/>
      <c r="D1" s="44"/>
      <c r="E1" s="2"/>
    </row>
    <row r="2" spans="1:5" x14ac:dyDescent="0.3">
      <c r="B2" s="9" t="s">
        <v>1</v>
      </c>
      <c r="C2" s="10" t="s">
        <v>0</v>
      </c>
    </row>
    <row r="3" spans="1:5" ht="15" thickBot="1" x14ac:dyDescent="0.35">
      <c r="B3" s="20">
        <f>SUM(B4,B5,B6,B7,B8,B9,B10,B11,B12,B13,B16,B15,B14)</f>
        <v>2777</v>
      </c>
      <c r="C3" s="12">
        <f>SUM(C4,C5,C6,C7,C8,C9,,C10,C11,C12,C13,C16,C15,C14)</f>
        <v>650</v>
      </c>
    </row>
    <row r="4" spans="1:5" s="5" customFormat="1" x14ac:dyDescent="0.3">
      <c r="A4" s="4" t="s">
        <v>2</v>
      </c>
      <c r="B4" s="5">
        <f>422+C4</f>
        <v>579</v>
      </c>
      <c r="C4" s="5">
        <v>157</v>
      </c>
    </row>
    <row r="5" spans="1:5" x14ac:dyDescent="0.3">
      <c r="A5" s="4" t="s">
        <v>3</v>
      </c>
      <c r="B5" s="30">
        <f>810+C5</f>
        <v>994</v>
      </c>
      <c r="C5" s="30">
        <v>184</v>
      </c>
      <c r="D5" s="5"/>
    </row>
    <row r="6" spans="1:5" x14ac:dyDescent="0.3">
      <c r="A6" s="4" t="s">
        <v>4</v>
      </c>
      <c r="B6" s="19">
        <f>197+C6</f>
        <v>329</v>
      </c>
      <c r="C6" s="6">
        <v>132</v>
      </c>
      <c r="D6" s="5"/>
    </row>
    <row r="7" spans="1:5" x14ac:dyDescent="0.3">
      <c r="A7" s="4" t="s">
        <v>5</v>
      </c>
      <c r="B7" s="32">
        <f>254+C7</f>
        <v>321</v>
      </c>
      <c r="C7" s="5">
        <v>67</v>
      </c>
      <c r="D7" s="5"/>
    </row>
    <row r="8" spans="1:5" s="15" customFormat="1" x14ac:dyDescent="0.3">
      <c r="A8" s="14" t="s">
        <v>6</v>
      </c>
      <c r="B8" s="6">
        <f>9+C8</f>
        <v>10</v>
      </c>
      <c r="C8" s="6">
        <v>1</v>
      </c>
      <c r="D8" s="5"/>
    </row>
    <row r="9" spans="1:5" x14ac:dyDescent="0.3">
      <c r="A9" s="4" t="s">
        <v>7</v>
      </c>
      <c r="B9" s="5">
        <f>33+C9</f>
        <v>48</v>
      </c>
      <c r="C9" s="5">
        <v>15</v>
      </c>
      <c r="D9" s="5"/>
    </row>
    <row r="10" spans="1:5" x14ac:dyDescent="0.3">
      <c r="A10" s="4" t="s">
        <v>8</v>
      </c>
      <c r="B10" s="5">
        <f>59+C10</f>
        <v>77</v>
      </c>
      <c r="C10" s="5">
        <v>18</v>
      </c>
      <c r="D10" s="5"/>
    </row>
    <row r="11" spans="1:5" x14ac:dyDescent="0.3">
      <c r="A11" s="4" t="s">
        <v>9</v>
      </c>
      <c r="B11" s="5">
        <v>0</v>
      </c>
      <c r="C11" s="5">
        <v>0</v>
      </c>
      <c r="D11" s="5"/>
    </row>
    <row r="12" spans="1:5" x14ac:dyDescent="0.3">
      <c r="A12" s="4" t="s">
        <v>10</v>
      </c>
      <c r="B12" s="5">
        <f>214+C12</f>
        <v>271</v>
      </c>
      <c r="C12" s="5">
        <v>57</v>
      </c>
      <c r="D12" s="5"/>
    </row>
    <row r="13" spans="1:5" x14ac:dyDescent="0.3">
      <c r="A13" s="4" t="s">
        <v>11</v>
      </c>
      <c r="B13" s="5">
        <v>1</v>
      </c>
      <c r="C13" s="5">
        <v>0</v>
      </c>
      <c r="D13" s="5"/>
    </row>
    <row r="14" spans="1:5" x14ac:dyDescent="0.3">
      <c r="A14" s="4" t="s">
        <v>12</v>
      </c>
      <c r="B14" s="8">
        <f>59+C14</f>
        <v>78</v>
      </c>
      <c r="C14" s="7">
        <v>19</v>
      </c>
      <c r="D14" s="5"/>
    </row>
    <row r="15" spans="1:5" x14ac:dyDescent="0.3">
      <c r="A15" s="4" t="s">
        <v>13</v>
      </c>
      <c r="B15" s="5">
        <v>69</v>
      </c>
      <c r="C15" s="5">
        <v>0</v>
      </c>
      <c r="D15" s="5" t="s">
        <v>231</v>
      </c>
    </row>
    <row r="16" spans="1:5" x14ac:dyDescent="0.3">
      <c r="A16" s="4" t="s">
        <v>14</v>
      </c>
      <c r="B16" s="5">
        <v>0</v>
      </c>
      <c r="C16" s="5">
        <v>0</v>
      </c>
      <c r="D16" s="5"/>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P24"/>
  <sheetViews>
    <sheetView zoomScale="110" zoomScaleNormal="130" workbookViewId="0">
      <selection activeCell="B16" sqref="B16"/>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263</v>
      </c>
      <c r="B1" s="44"/>
      <c r="C1" s="44"/>
      <c r="D1" s="44"/>
      <c r="E1" s="2"/>
    </row>
    <row r="2" spans="1:5" x14ac:dyDescent="0.3">
      <c r="B2" s="9" t="s">
        <v>1</v>
      </c>
      <c r="C2" s="10" t="s">
        <v>0</v>
      </c>
    </row>
    <row r="3" spans="1:5" ht="15" thickBot="1" x14ac:dyDescent="0.35">
      <c r="B3" s="20">
        <f>SUM(B4,B5,B6,B7,B8,B9,B10,B11,B12,B13,B16,B15,B14)</f>
        <v>2824</v>
      </c>
      <c r="C3" s="12">
        <f>SUM(C4,C5,C6,C7,C8,C9,,C10,C11,C12,C13,C16,C15,C14)</f>
        <v>654</v>
      </c>
    </row>
    <row r="4" spans="1:5" s="5" customFormat="1" x14ac:dyDescent="0.3">
      <c r="A4" s="4" t="s">
        <v>2</v>
      </c>
      <c r="B4" s="5">
        <f>365+C4</f>
        <v>507</v>
      </c>
      <c r="C4" s="5">
        <v>142</v>
      </c>
    </row>
    <row r="5" spans="1:5" x14ac:dyDescent="0.3">
      <c r="A5" s="4" t="s">
        <v>3</v>
      </c>
      <c r="B5" s="30">
        <f>821+C5</f>
        <v>1003</v>
      </c>
      <c r="C5" s="30">
        <v>182</v>
      </c>
      <c r="D5" s="5"/>
    </row>
    <row r="6" spans="1:5" x14ac:dyDescent="0.3">
      <c r="A6" s="4" t="s">
        <v>4</v>
      </c>
      <c r="B6" s="19">
        <f>233+C6</f>
        <v>371</v>
      </c>
      <c r="C6" s="6">
        <v>138</v>
      </c>
      <c r="D6" s="5"/>
    </row>
    <row r="7" spans="1:5" x14ac:dyDescent="0.3">
      <c r="A7" s="4" t="s">
        <v>5</v>
      </c>
      <c r="B7" s="32">
        <f>259+C7</f>
        <v>325</v>
      </c>
      <c r="C7" s="5">
        <v>66</v>
      </c>
      <c r="D7" s="5"/>
    </row>
    <row r="8" spans="1:5" s="15" customFormat="1" x14ac:dyDescent="0.3">
      <c r="A8" s="14" t="s">
        <v>6</v>
      </c>
      <c r="B8" s="6">
        <f>9+C8</f>
        <v>11</v>
      </c>
      <c r="C8" s="6">
        <v>2</v>
      </c>
      <c r="D8" s="5"/>
    </row>
    <row r="9" spans="1:5" x14ac:dyDescent="0.3">
      <c r="A9" s="4" t="s">
        <v>7</v>
      </c>
      <c r="B9" s="5">
        <f>39+C9</f>
        <v>53</v>
      </c>
      <c r="C9" s="5">
        <v>14</v>
      </c>
      <c r="D9" s="5"/>
    </row>
    <row r="10" spans="1:5" x14ac:dyDescent="0.3">
      <c r="A10" s="4" t="s">
        <v>8</v>
      </c>
      <c r="B10" s="5">
        <f>83+C10</f>
        <v>103</v>
      </c>
      <c r="C10" s="5">
        <v>20</v>
      </c>
      <c r="D10" s="5"/>
    </row>
    <row r="11" spans="1:5" x14ac:dyDescent="0.3">
      <c r="A11" s="4" t="s">
        <v>9</v>
      </c>
      <c r="B11" s="5">
        <v>0</v>
      </c>
      <c r="C11" s="5">
        <v>0</v>
      </c>
      <c r="D11" s="5"/>
    </row>
    <row r="12" spans="1:5" x14ac:dyDescent="0.3">
      <c r="A12" s="4" t="s">
        <v>10</v>
      </c>
      <c r="B12" s="5">
        <f>222+C12</f>
        <v>293</v>
      </c>
      <c r="C12" s="5">
        <v>71</v>
      </c>
      <c r="D12" s="5"/>
    </row>
    <row r="13" spans="1:5" x14ac:dyDescent="0.3">
      <c r="A13" s="4" t="s">
        <v>11</v>
      </c>
      <c r="B13" s="5">
        <v>1</v>
      </c>
      <c r="C13" s="5">
        <v>0</v>
      </c>
      <c r="D13" s="5"/>
    </row>
    <row r="14" spans="1:5" x14ac:dyDescent="0.3">
      <c r="A14" s="4" t="s">
        <v>12</v>
      </c>
      <c r="B14" s="8">
        <f>59+C14</f>
        <v>78</v>
      </c>
      <c r="C14" s="7">
        <v>19</v>
      </c>
      <c r="D14" s="5"/>
    </row>
    <row r="15" spans="1:5" x14ac:dyDescent="0.3">
      <c r="A15" s="4" t="s">
        <v>13</v>
      </c>
      <c r="B15" s="5">
        <v>79</v>
      </c>
      <c r="C15" s="5">
        <v>0</v>
      </c>
      <c r="D15" s="5" t="s">
        <v>231</v>
      </c>
    </row>
    <row r="16" spans="1:5" x14ac:dyDescent="0.3">
      <c r="A16" s="4" t="s">
        <v>14</v>
      </c>
      <c r="B16" s="5">
        <v>0</v>
      </c>
      <c r="C16" s="5">
        <v>0</v>
      </c>
      <c r="D16" s="5"/>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P24"/>
  <sheetViews>
    <sheetView zoomScale="110" zoomScaleNormal="130" workbookViewId="0">
      <selection activeCell="B16" sqref="B16"/>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262</v>
      </c>
      <c r="B1" s="44"/>
      <c r="C1" s="44"/>
      <c r="D1" s="44"/>
      <c r="E1" s="2"/>
    </row>
    <row r="2" spans="1:5" x14ac:dyDescent="0.3">
      <c r="B2" s="9" t="s">
        <v>1</v>
      </c>
      <c r="C2" s="10" t="s">
        <v>0</v>
      </c>
    </row>
    <row r="3" spans="1:5" ht="15" thickBot="1" x14ac:dyDescent="0.35">
      <c r="B3" s="20">
        <f>SUM(B4,B5,B6,B7,B8,B9,B10,B11,B12,B13,B16,B15,B14)</f>
        <v>3096</v>
      </c>
      <c r="C3" s="12">
        <f>SUM(C4,C5,C6,C7,C8,C9,,C10,C11,C12,C13,C16,C15,C14)</f>
        <v>711</v>
      </c>
    </row>
    <row r="4" spans="1:5" s="5" customFormat="1" x14ac:dyDescent="0.3">
      <c r="A4" s="4" t="s">
        <v>2</v>
      </c>
      <c r="B4" s="5">
        <f>379+C4</f>
        <v>518</v>
      </c>
      <c r="C4" s="5">
        <v>139</v>
      </c>
    </row>
    <row r="5" spans="1:5" x14ac:dyDescent="0.3">
      <c r="A5" s="4" t="s">
        <v>3</v>
      </c>
      <c r="B5" s="30">
        <f>928+C5</f>
        <v>1131</v>
      </c>
      <c r="C5" s="30">
        <v>203</v>
      </c>
      <c r="D5" s="5"/>
    </row>
    <row r="6" spans="1:5" x14ac:dyDescent="0.3">
      <c r="A6" s="4" t="s">
        <v>4</v>
      </c>
      <c r="B6" s="19">
        <f>274+C6</f>
        <v>435</v>
      </c>
      <c r="C6" s="6">
        <v>161</v>
      </c>
      <c r="D6" s="5"/>
    </row>
    <row r="7" spans="1:5" x14ac:dyDescent="0.3">
      <c r="A7" s="4" t="s">
        <v>5</v>
      </c>
      <c r="B7" s="32">
        <f>274+C7</f>
        <v>346</v>
      </c>
      <c r="C7" s="5">
        <v>72</v>
      </c>
      <c r="D7" s="5"/>
    </row>
    <row r="8" spans="1:5" s="15" customFormat="1" x14ac:dyDescent="0.3">
      <c r="A8" s="14" t="s">
        <v>6</v>
      </c>
      <c r="B8" s="6">
        <f>10+C8</f>
        <v>15</v>
      </c>
      <c r="C8" s="6">
        <v>5</v>
      </c>
      <c r="D8" s="5"/>
    </row>
    <row r="9" spans="1:5" x14ac:dyDescent="0.3">
      <c r="A9" s="4" t="s">
        <v>7</v>
      </c>
      <c r="B9" s="5">
        <f>55+C9</f>
        <v>71</v>
      </c>
      <c r="C9" s="5">
        <v>16</v>
      </c>
      <c r="D9" s="5"/>
    </row>
    <row r="10" spans="1:5" x14ac:dyDescent="0.3">
      <c r="A10" s="4" t="s">
        <v>8</v>
      </c>
      <c r="B10" s="5">
        <f>87+C10</f>
        <v>107</v>
      </c>
      <c r="C10" s="5">
        <v>20</v>
      </c>
      <c r="D10" s="5"/>
    </row>
    <row r="11" spans="1:5" x14ac:dyDescent="0.3">
      <c r="A11" s="4" t="s">
        <v>9</v>
      </c>
      <c r="B11" s="5">
        <v>0</v>
      </c>
      <c r="C11" s="5">
        <v>0</v>
      </c>
      <c r="D11" s="5"/>
    </row>
    <row r="12" spans="1:5" x14ac:dyDescent="0.3">
      <c r="A12" s="4" t="s">
        <v>10</v>
      </c>
      <c r="B12" s="5">
        <f>246+C12</f>
        <v>322</v>
      </c>
      <c r="C12" s="5">
        <v>76</v>
      </c>
      <c r="D12" s="5"/>
    </row>
    <row r="13" spans="1:5" x14ac:dyDescent="0.3">
      <c r="A13" s="4" t="s">
        <v>11</v>
      </c>
      <c r="B13" s="5">
        <v>5</v>
      </c>
      <c r="C13" s="5">
        <v>0</v>
      </c>
      <c r="D13" s="5"/>
    </row>
    <row r="14" spans="1:5" x14ac:dyDescent="0.3">
      <c r="A14" s="4" t="s">
        <v>12</v>
      </c>
      <c r="B14" s="8">
        <f>58+C14</f>
        <v>77</v>
      </c>
      <c r="C14" s="7">
        <v>19</v>
      </c>
      <c r="D14" s="5"/>
    </row>
    <row r="15" spans="1:5" x14ac:dyDescent="0.3">
      <c r="A15" s="4" t="s">
        <v>13</v>
      </c>
      <c r="B15" s="5">
        <v>69</v>
      </c>
      <c r="C15" s="5">
        <v>0</v>
      </c>
      <c r="D15" s="5" t="s">
        <v>231</v>
      </c>
    </row>
    <row r="16" spans="1:5" x14ac:dyDescent="0.3">
      <c r="A16" s="4" t="s">
        <v>14</v>
      </c>
      <c r="B16" s="5">
        <v>0</v>
      </c>
      <c r="C16" s="5">
        <v>0</v>
      </c>
      <c r="D16" s="5"/>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P24"/>
  <sheetViews>
    <sheetView zoomScale="110" zoomScaleNormal="130" workbookViewId="0">
      <selection activeCell="B16" sqref="B16"/>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261</v>
      </c>
      <c r="B1" s="44"/>
      <c r="C1" s="44"/>
      <c r="D1" s="44"/>
      <c r="E1" s="2"/>
    </row>
    <row r="2" spans="1:5" x14ac:dyDescent="0.3">
      <c r="B2" s="9" t="s">
        <v>1</v>
      </c>
      <c r="C2" s="10" t="s">
        <v>0</v>
      </c>
    </row>
    <row r="3" spans="1:5" ht="15" thickBot="1" x14ac:dyDescent="0.35">
      <c r="B3" s="20">
        <f>SUM(B4,B5,B6,B7,B8,B9,B10,B11,B12,B13,B16,B15,B14)</f>
        <v>3162</v>
      </c>
      <c r="C3" s="12">
        <f>SUM(C4,C5,C6,C7,C8,C9,,C10,C11,C12,C13,C16,C15,C14)</f>
        <v>735</v>
      </c>
    </row>
    <row r="4" spans="1:5" s="5" customFormat="1" x14ac:dyDescent="0.3">
      <c r="A4" s="4" t="s">
        <v>2</v>
      </c>
      <c r="B4" s="5">
        <f>382+C4</f>
        <v>528</v>
      </c>
      <c r="C4" s="5">
        <v>146</v>
      </c>
    </row>
    <row r="5" spans="1:5" x14ac:dyDescent="0.3">
      <c r="A5" s="4" t="s">
        <v>3</v>
      </c>
      <c r="B5" s="30">
        <f>964+C5</f>
        <v>1182</v>
      </c>
      <c r="C5" s="30">
        <v>218</v>
      </c>
      <c r="D5" s="5"/>
    </row>
    <row r="6" spans="1:5" x14ac:dyDescent="0.3">
      <c r="A6" s="4" t="s">
        <v>4</v>
      </c>
      <c r="B6" s="19">
        <f>258+C6</f>
        <v>417</v>
      </c>
      <c r="C6" s="6">
        <v>159</v>
      </c>
      <c r="D6" s="5"/>
    </row>
    <row r="7" spans="1:5" x14ac:dyDescent="0.3">
      <c r="A7" s="4" t="s">
        <v>5</v>
      </c>
      <c r="B7" s="32">
        <f>287+C7</f>
        <v>359</v>
      </c>
      <c r="C7" s="5">
        <v>72</v>
      </c>
      <c r="D7" s="5"/>
    </row>
    <row r="8" spans="1:5" s="15" customFormat="1" x14ac:dyDescent="0.3">
      <c r="A8" s="14" t="s">
        <v>6</v>
      </c>
      <c r="B8" s="6">
        <f>10+C8</f>
        <v>14</v>
      </c>
      <c r="C8" s="6">
        <v>4</v>
      </c>
      <c r="D8" s="5"/>
    </row>
    <row r="9" spans="1:5" x14ac:dyDescent="0.3">
      <c r="A9" s="4" t="s">
        <v>7</v>
      </c>
      <c r="B9" s="5">
        <f>57+C9</f>
        <v>75</v>
      </c>
      <c r="C9" s="5">
        <v>18</v>
      </c>
      <c r="D9" s="5"/>
    </row>
    <row r="10" spans="1:5" x14ac:dyDescent="0.3">
      <c r="A10" s="4" t="s">
        <v>8</v>
      </c>
      <c r="B10" s="5">
        <f>90+C10</f>
        <v>106</v>
      </c>
      <c r="C10" s="5">
        <v>16</v>
      </c>
      <c r="D10" s="5"/>
    </row>
    <row r="11" spans="1:5" x14ac:dyDescent="0.3">
      <c r="A11" s="4" t="s">
        <v>9</v>
      </c>
      <c r="B11" s="5">
        <v>0</v>
      </c>
      <c r="C11" s="5">
        <v>0</v>
      </c>
      <c r="D11" s="5"/>
    </row>
    <row r="12" spans="1:5" x14ac:dyDescent="0.3">
      <c r="A12" s="4" t="s">
        <v>10</v>
      </c>
      <c r="B12" s="5">
        <f>252+C12</f>
        <v>335</v>
      </c>
      <c r="C12" s="5">
        <v>83</v>
      </c>
      <c r="D12" s="5"/>
    </row>
    <row r="13" spans="1:5" x14ac:dyDescent="0.3">
      <c r="A13" s="4" t="s">
        <v>11</v>
      </c>
      <c r="B13" s="5">
        <v>5</v>
      </c>
      <c r="C13" s="5">
        <v>0</v>
      </c>
      <c r="D13" s="5"/>
    </row>
    <row r="14" spans="1:5" x14ac:dyDescent="0.3">
      <c r="A14" s="4" t="s">
        <v>12</v>
      </c>
      <c r="B14" s="8">
        <f>58+C14</f>
        <v>77</v>
      </c>
      <c r="C14" s="7">
        <v>19</v>
      </c>
      <c r="D14" s="5"/>
    </row>
    <row r="15" spans="1:5" x14ac:dyDescent="0.3">
      <c r="A15" s="4" t="s">
        <v>13</v>
      </c>
      <c r="B15" s="5">
        <v>64</v>
      </c>
      <c r="C15" s="5">
        <v>0</v>
      </c>
      <c r="D15" s="5" t="s">
        <v>231</v>
      </c>
    </row>
    <row r="16" spans="1:5" x14ac:dyDescent="0.3">
      <c r="A16" s="4" t="s">
        <v>14</v>
      </c>
      <c r="B16" s="5">
        <v>0</v>
      </c>
      <c r="C16" s="5">
        <v>0</v>
      </c>
      <c r="D16" s="5"/>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P24"/>
  <sheetViews>
    <sheetView zoomScale="110" zoomScaleNormal="130" workbookViewId="0">
      <selection activeCell="C18" sqref="C18"/>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260</v>
      </c>
      <c r="B1" s="44"/>
      <c r="C1" s="44"/>
      <c r="D1" s="44"/>
      <c r="E1" s="2"/>
    </row>
    <row r="2" spans="1:5" x14ac:dyDescent="0.3">
      <c r="B2" s="9" t="s">
        <v>1</v>
      </c>
      <c r="C2" s="10" t="s">
        <v>0</v>
      </c>
    </row>
    <row r="3" spans="1:5" ht="15" thickBot="1" x14ac:dyDescent="0.35">
      <c r="B3" s="20">
        <f>SUM(B4,B5,B6,B7,B8,B9,B10,B11,B12,B13,B16,B15,B14)</f>
        <v>3018</v>
      </c>
      <c r="C3" s="12">
        <f>SUM(C4,C5,C6,C7,C8,C9,,C10,C11,C12,C13,C16,C15,C14)</f>
        <v>765</v>
      </c>
    </row>
    <row r="4" spans="1:5" s="5" customFormat="1" x14ac:dyDescent="0.3">
      <c r="A4" s="4" t="s">
        <v>2</v>
      </c>
      <c r="B4" s="5">
        <f>367+C4</f>
        <v>519</v>
      </c>
      <c r="C4" s="5">
        <v>152</v>
      </c>
    </row>
    <row r="5" spans="1:5" x14ac:dyDescent="0.3">
      <c r="A5" s="4" t="s">
        <v>3</v>
      </c>
      <c r="B5" s="30">
        <f>1000+C5</f>
        <v>1229</v>
      </c>
      <c r="C5" s="30">
        <v>229</v>
      </c>
      <c r="D5" s="5"/>
    </row>
    <row r="6" spans="1:5" x14ac:dyDescent="0.3">
      <c r="A6" s="4" t="s">
        <v>4</v>
      </c>
      <c r="B6" s="19">
        <f>145+C6</f>
        <v>313</v>
      </c>
      <c r="C6" s="6">
        <v>168</v>
      </c>
      <c r="D6" s="5"/>
    </row>
    <row r="7" spans="1:5" x14ac:dyDescent="0.3">
      <c r="A7" s="4" t="s">
        <v>5</v>
      </c>
      <c r="B7" s="32">
        <f>203+C7</f>
        <v>280</v>
      </c>
      <c r="C7" s="5">
        <v>77</v>
      </c>
      <c r="D7" s="5"/>
    </row>
    <row r="8" spans="1:5" s="15" customFormat="1" x14ac:dyDescent="0.3">
      <c r="A8" s="14" t="s">
        <v>6</v>
      </c>
      <c r="B8" s="6">
        <f>13+C8</f>
        <v>14</v>
      </c>
      <c r="C8" s="6">
        <v>1</v>
      </c>
      <c r="D8" s="5"/>
    </row>
    <row r="9" spans="1:5" x14ac:dyDescent="0.3">
      <c r="A9" s="4" t="s">
        <v>7</v>
      </c>
      <c r="B9" s="5">
        <f>61+C9</f>
        <v>81</v>
      </c>
      <c r="C9" s="5">
        <v>20</v>
      </c>
      <c r="D9" s="5"/>
    </row>
    <row r="10" spans="1:5" x14ac:dyDescent="0.3">
      <c r="A10" s="4" t="s">
        <v>8</v>
      </c>
      <c r="B10" s="5">
        <f>90+C10</f>
        <v>106</v>
      </c>
      <c r="C10" s="5">
        <v>16</v>
      </c>
      <c r="D10" s="5"/>
    </row>
    <row r="11" spans="1:5" x14ac:dyDescent="0.3">
      <c r="A11" s="4" t="s">
        <v>9</v>
      </c>
      <c r="B11" s="5">
        <v>0</v>
      </c>
      <c r="C11" s="5">
        <v>0</v>
      </c>
      <c r="D11" s="5"/>
    </row>
    <row r="12" spans="1:5" x14ac:dyDescent="0.3">
      <c r="A12" s="4" t="s">
        <v>10</v>
      </c>
      <c r="B12" s="5">
        <f>250+C12</f>
        <v>335</v>
      </c>
      <c r="C12" s="5">
        <v>85</v>
      </c>
      <c r="D12" s="5"/>
    </row>
    <row r="13" spans="1:5" x14ac:dyDescent="0.3">
      <c r="A13" s="4" t="s">
        <v>11</v>
      </c>
      <c r="B13" s="5">
        <v>6</v>
      </c>
      <c r="C13" s="5">
        <v>0</v>
      </c>
      <c r="D13" s="5"/>
    </row>
    <row r="14" spans="1:5" x14ac:dyDescent="0.3">
      <c r="A14" s="4" t="s">
        <v>12</v>
      </c>
      <c r="B14" s="8">
        <f>55+C14</f>
        <v>72</v>
      </c>
      <c r="C14" s="7">
        <v>17</v>
      </c>
      <c r="D14" s="5"/>
    </row>
    <row r="15" spans="1:5" x14ac:dyDescent="0.3">
      <c r="A15" s="4" t="s">
        <v>13</v>
      </c>
      <c r="B15" s="5">
        <v>63</v>
      </c>
      <c r="C15" s="5">
        <v>0</v>
      </c>
      <c r="D15" s="5" t="s">
        <v>231</v>
      </c>
    </row>
    <row r="16" spans="1:5" x14ac:dyDescent="0.3">
      <c r="A16" s="4" t="s">
        <v>14</v>
      </c>
      <c r="B16" s="5">
        <v>0</v>
      </c>
      <c r="C16" s="5">
        <v>0</v>
      </c>
      <c r="D16" s="5"/>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P24"/>
  <sheetViews>
    <sheetView zoomScale="110" zoomScaleNormal="130" workbookViewId="0">
      <selection activeCell="B16" sqref="B16"/>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259</v>
      </c>
      <c r="B1" s="44"/>
      <c r="C1" s="44"/>
      <c r="D1" s="44"/>
      <c r="E1" s="2"/>
    </row>
    <row r="2" spans="1:5" x14ac:dyDescent="0.3">
      <c r="B2" s="9" t="s">
        <v>1</v>
      </c>
      <c r="C2" s="10" t="s">
        <v>0</v>
      </c>
    </row>
    <row r="3" spans="1:5" ht="15" thickBot="1" x14ac:dyDescent="0.35">
      <c r="B3" s="20">
        <f>SUM(B4,B5,B6,B7,B8,B9,B10,B11,B12,B13,B16,B15,B14)</f>
        <v>3255</v>
      </c>
      <c r="C3" s="12">
        <f>SUM(C4,C5,C6,C7,C8,C9,,C10,C11,C12,C13,C16,C15,C14)</f>
        <v>752</v>
      </c>
    </row>
    <row r="4" spans="1:5" s="5" customFormat="1" x14ac:dyDescent="0.3">
      <c r="A4" s="4" t="s">
        <v>2</v>
      </c>
      <c r="B4" s="5">
        <f>374+C4</f>
        <v>527</v>
      </c>
      <c r="C4" s="5">
        <v>153</v>
      </c>
    </row>
    <row r="5" spans="1:5" x14ac:dyDescent="0.3">
      <c r="A5" s="4" t="s">
        <v>3</v>
      </c>
      <c r="B5" s="30">
        <f>1027+C5</f>
        <v>1263</v>
      </c>
      <c r="C5" s="30">
        <v>236</v>
      </c>
      <c r="D5" s="5"/>
    </row>
    <row r="6" spans="1:5" x14ac:dyDescent="0.3">
      <c r="A6" s="4" t="s">
        <v>4</v>
      </c>
      <c r="B6" s="19">
        <f>254+C6</f>
        <v>412</v>
      </c>
      <c r="C6" s="6">
        <v>158</v>
      </c>
      <c r="D6" s="5"/>
    </row>
    <row r="7" spans="1:5" x14ac:dyDescent="0.3">
      <c r="A7" s="4" t="s">
        <v>5</v>
      </c>
      <c r="B7" s="32">
        <f>298+C7</f>
        <v>374</v>
      </c>
      <c r="C7" s="5">
        <v>76</v>
      </c>
      <c r="D7" s="5"/>
    </row>
    <row r="8" spans="1:5" s="15" customFormat="1" x14ac:dyDescent="0.3">
      <c r="A8" s="14" t="s">
        <v>6</v>
      </c>
      <c r="B8" s="6">
        <f>10+C8</f>
        <v>12</v>
      </c>
      <c r="C8" s="6">
        <v>2</v>
      </c>
      <c r="D8" s="5"/>
    </row>
    <row r="9" spans="1:5" x14ac:dyDescent="0.3">
      <c r="A9" s="4" t="s">
        <v>7</v>
      </c>
      <c r="B9" s="5">
        <f>63+C9</f>
        <v>82</v>
      </c>
      <c r="C9" s="5">
        <v>19</v>
      </c>
      <c r="D9" s="5"/>
    </row>
    <row r="10" spans="1:5" x14ac:dyDescent="0.3">
      <c r="A10" s="4" t="s">
        <v>8</v>
      </c>
      <c r="B10" s="5">
        <f>93+C10</f>
        <v>110</v>
      </c>
      <c r="C10" s="5">
        <v>17</v>
      </c>
      <c r="D10" s="5"/>
    </row>
    <row r="11" spans="1:5" x14ac:dyDescent="0.3">
      <c r="A11" s="4" t="s">
        <v>9</v>
      </c>
      <c r="B11" s="5">
        <v>0</v>
      </c>
      <c r="C11" s="5">
        <v>0</v>
      </c>
      <c r="D11" s="5"/>
    </row>
    <row r="12" spans="1:5" x14ac:dyDescent="0.3">
      <c r="A12" s="4" t="s">
        <v>10</v>
      </c>
      <c r="B12" s="5">
        <f>260+C12</f>
        <v>335</v>
      </c>
      <c r="C12" s="5">
        <v>75</v>
      </c>
      <c r="D12" s="5"/>
    </row>
    <row r="13" spans="1:5" x14ac:dyDescent="0.3">
      <c r="A13" s="4" t="s">
        <v>11</v>
      </c>
      <c r="B13" s="5">
        <v>11</v>
      </c>
      <c r="C13" s="5">
        <v>0</v>
      </c>
      <c r="D13" s="5"/>
    </row>
    <row r="14" spans="1:5" x14ac:dyDescent="0.3">
      <c r="A14" s="4" t="s">
        <v>12</v>
      </c>
      <c r="B14" s="8">
        <f>53+C14</f>
        <v>69</v>
      </c>
      <c r="C14" s="7">
        <v>16</v>
      </c>
      <c r="D14" s="5"/>
    </row>
    <row r="15" spans="1:5" x14ac:dyDescent="0.3">
      <c r="A15" s="4" t="s">
        <v>13</v>
      </c>
      <c r="B15" s="5">
        <v>60</v>
      </c>
      <c r="C15" s="5">
        <v>0</v>
      </c>
      <c r="D15" s="5" t="s">
        <v>231</v>
      </c>
    </row>
    <row r="16" spans="1:5" x14ac:dyDescent="0.3">
      <c r="A16" s="4" t="s">
        <v>14</v>
      </c>
      <c r="B16" s="5">
        <v>0</v>
      </c>
      <c r="C16" s="5">
        <v>0</v>
      </c>
      <c r="D16" s="5"/>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1ECB9-540D-4240-ACF9-BEC1A40BE5B7}">
  <dimension ref="A1:P27"/>
  <sheetViews>
    <sheetView topLeftCell="A3" zoomScaleNormal="100" workbookViewId="0">
      <selection activeCell="A26" sqref="A26"/>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504</v>
      </c>
      <c r="B1" s="44"/>
      <c r="C1" s="44"/>
      <c r="D1" s="44"/>
      <c r="E1" s="2"/>
    </row>
    <row r="2" spans="1:5" x14ac:dyDescent="0.3">
      <c r="B2" s="9" t="s">
        <v>1</v>
      </c>
      <c r="C2" s="10" t="s">
        <v>0</v>
      </c>
    </row>
    <row r="3" spans="1:5" ht="15" thickBot="1" x14ac:dyDescent="0.35">
      <c r="B3" s="20">
        <f>SUM(B4,B5,B6,B7,B8,B9,B10,B11,B12,B13,B16,B15,B14)</f>
        <v>2907</v>
      </c>
      <c r="C3" s="12">
        <f>SUM(C4,C5,C6,C7,C8,C9,,C10,C11,C12,C13,C16,C15,C14)</f>
        <v>196</v>
      </c>
    </row>
    <row r="4" spans="1:5" s="5" customFormat="1" x14ac:dyDescent="0.3">
      <c r="A4" s="4" t="s">
        <v>2</v>
      </c>
      <c r="B4" s="18">
        <v>273</v>
      </c>
      <c r="C4" s="5">
        <v>28</v>
      </c>
    </row>
    <row r="5" spans="1:5" x14ac:dyDescent="0.3">
      <c r="A5" s="4" t="s">
        <v>3</v>
      </c>
      <c r="B5" s="30">
        <v>589</v>
      </c>
      <c r="C5" s="30">
        <v>13</v>
      </c>
      <c r="D5" s="5"/>
    </row>
    <row r="6" spans="1:5" x14ac:dyDescent="0.3">
      <c r="A6" s="4" t="s">
        <v>4</v>
      </c>
      <c r="B6" s="19">
        <v>486</v>
      </c>
      <c r="C6" s="6">
        <v>96</v>
      </c>
      <c r="D6" s="5"/>
    </row>
    <row r="7" spans="1:5" x14ac:dyDescent="0.3">
      <c r="A7" s="4" t="s">
        <v>5</v>
      </c>
      <c r="B7" s="32">
        <v>1294</v>
      </c>
      <c r="C7" s="5">
        <v>42</v>
      </c>
      <c r="D7" s="5"/>
    </row>
    <row r="8" spans="1:5" s="15" customFormat="1" x14ac:dyDescent="0.3">
      <c r="A8" s="14" t="s">
        <v>6</v>
      </c>
      <c r="B8" s="6">
        <v>24</v>
      </c>
      <c r="C8" s="6">
        <v>4</v>
      </c>
      <c r="D8" s="5"/>
    </row>
    <row r="9" spans="1:5" x14ac:dyDescent="0.3">
      <c r="A9" s="4" t="s">
        <v>7</v>
      </c>
      <c r="B9" s="5">
        <v>15</v>
      </c>
      <c r="C9" s="5">
        <v>1</v>
      </c>
      <c r="D9" s="5"/>
    </row>
    <row r="10" spans="1:5" x14ac:dyDescent="0.3">
      <c r="A10" s="4" t="s">
        <v>8</v>
      </c>
      <c r="B10" s="5">
        <v>46</v>
      </c>
      <c r="C10" s="5">
        <v>5</v>
      </c>
      <c r="D10" s="5"/>
    </row>
    <row r="11" spans="1:5" x14ac:dyDescent="0.3">
      <c r="A11" s="4" t="s">
        <v>9</v>
      </c>
      <c r="B11" s="5">
        <v>9</v>
      </c>
      <c r="C11" s="5">
        <v>0</v>
      </c>
      <c r="D11" s="5"/>
    </row>
    <row r="12" spans="1:5" x14ac:dyDescent="0.3">
      <c r="A12" s="4" t="s">
        <v>10</v>
      </c>
      <c r="B12" s="5">
        <v>157</v>
      </c>
      <c r="C12" s="5">
        <v>5</v>
      </c>
      <c r="D12" s="5"/>
    </row>
    <row r="13" spans="1:5" x14ac:dyDescent="0.3">
      <c r="A13" s="4" t="s">
        <v>11</v>
      </c>
      <c r="B13" s="5">
        <v>13</v>
      </c>
      <c r="C13" s="5">
        <v>2</v>
      </c>
      <c r="D13" s="5"/>
    </row>
    <row r="14" spans="1:5" x14ac:dyDescent="0.3">
      <c r="A14" s="4" t="s">
        <v>12</v>
      </c>
      <c r="B14" s="8">
        <v>0</v>
      </c>
      <c r="C14" s="7">
        <v>0</v>
      </c>
      <c r="D14" s="5"/>
    </row>
    <row r="15" spans="1:5" x14ac:dyDescent="0.3">
      <c r="A15" s="4" t="s">
        <v>13</v>
      </c>
      <c r="B15" s="5">
        <v>1</v>
      </c>
      <c r="C15" s="5">
        <v>0</v>
      </c>
      <c r="D15" s="5" t="s">
        <v>231</v>
      </c>
    </row>
    <row r="16" spans="1:5" x14ac:dyDescent="0.3">
      <c r="A16" s="4" t="s">
        <v>14</v>
      </c>
      <c r="B16" s="5">
        <v>0</v>
      </c>
      <c r="C16" s="5">
        <v>0</v>
      </c>
      <c r="D16" s="5"/>
    </row>
    <row r="17" spans="1:9" x14ac:dyDescent="0.3">
      <c r="B17" s="3"/>
    </row>
    <row r="20" spans="1:9" x14ac:dyDescent="0.3">
      <c r="A20" s="1" t="s">
        <v>122</v>
      </c>
    </row>
    <row r="21" spans="1:9" s="3" customFormat="1" x14ac:dyDescent="0.3">
      <c r="A21" s="33" t="s">
        <v>480</v>
      </c>
      <c r="B21" s="8"/>
    </row>
    <row r="22" spans="1:9" s="3" customFormat="1" x14ac:dyDescent="0.3">
      <c r="A22" s="34" t="s">
        <v>503</v>
      </c>
      <c r="B22" s="8"/>
    </row>
    <row r="23" spans="1:9" s="3" customFormat="1" x14ac:dyDescent="0.3">
      <c r="A23" s="35" t="s">
        <v>471</v>
      </c>
      <c r="B23" s="8"/>
    </row>
    <row r="24" spans="1:9" s="3" customFormat="1" x14ac:dyDescent="0.3">
      <c r="A24" s="33" t="s">
        <v>501</v>
      </c>
      <c r="B24" s="8"/>
    </row>
    <row r="25" spans="1:9" s="3" customFormat="1" x14ac:dyDescent="0.3">
      <c r="A25" s="36" t="s">
        <v>502</v>
      </c>
      <c r="B25" s="8"/>
    </row>
    <row r="26" spans="1:9" s="3" customFormat="1" x14ac:dyDescent="0.3">
      <c r="A26" s="33" t="s">
        <v>499</v>
      </c>
      <c r="B26" s="8"/>
      <c r="I26" s="3" t="s">
        <v>414</v>
      </c>
    </row>
    <row r="27" spans="1:9" x14ac:dyDescent="0.3">
      <c r="A27" s="33" t="s">
        <v>496</v>
      </c>
    </row>
  </sheetData>
  <mergeCells count="1">
    <mergeCell ref="A1:D1"/>
  </mergeCells>
  <hyperlinks>
    <hyperlink ref="A21" r:id="rId1" display="** NT's official website does not disclose the number of current hospitalizations, but according to the press, between April 1st and April 19th, the NWT reported eight new hospitalizations and one intensive care admission. " xr:uid="{25D1AD93-C34B-487A-BD02-94CE1FB7735E}"/>
    <hyperlink ref="A22" r:id="rId2" display="**** YT's official website is now informing the number of hospitalizations, which is 2 as of March 7th." xr:uid="{C6E30E74-B4F6-4282-8E9E-D0FB72A2E2F1}"/>
    <hyperlink ref="A23" r:id="rId3" xr:uid="{A965CA91-562A-4166-BCFD-A1A33EBCC97C}"/>
    <hyperlink ref="A24" r:id="rId4" display="*****NB's latest official report only informs the number of patients admitted for Covid-19, not including the number of patients that were admitted for other reasons and tested positive for Covid-19 later on." xr:uid="{FB680F6B-D3DA-4DE2-8DFD-2BFB67C92CA5}"/>
    <hyperlink ref="A26" r:id="rId5" display="*******SK's information was extracted from the latest official report from May 25th, covering the week of May 15th-21st." xr:uid="{6D076606-AE94-466C-8DBD-57F7B7D53E3C}"/>
    <hyperlink ref="A25" r:id="rId6" display="******MB's official website is no longer doing daily reporting. The information was extracted from the latest offical report from May 10th. Note that these are the numbers of new hospitalizations and ICU admissions for the May 1st-7th week. The numbers of" xr:uid="{D597E394-B0E7-4AF3-8C4D-260E24C3399E}"/>
    <hyperlink ref="A27" r:id="rId7" xr:uid="{AED0EDD4-5ABF-41F2-BB24-916ED22ADE9F}"/>
  </hyperlinks>
  <pageMargins left="0.7" right="0.7" top="0.75" bottom="0.75" header="0.3" footer="0.3"/>
  <pageSetup orientation="portrait" r:id="rId8"/>
  <drawing r:id="rId9"/>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P24"/>
  <sheetViews>
    <sheetView zoomScale="110" zoomScaleNormal="130" workbookViewId="0">
      <selection activeCell="C17" sqref="C17"/>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258</v>
      </c>
      <c r="B1" s="44"/>
      <c r="C1" s="44"/>
      <c r="D1" s="44"/>
      <c r="E1" s="2"/>
    </row>
    <row r="2" spans="1:5" x14ac:dyDescent="0.3">
      <c r="B2" s="9" t="s">
        <v>1</v>
      </c>
      <c r="C2" s="10" t="s">
        <v>0</v>
      </c>
    </row>
    <row r="3" spans="1:5" ht="15" thickBot="1" x14ac:dyDescent="0.35">
      <c r="B3" s="20">
        <f>SUM(B4,B5,B6,B7,B8,B9,B10,B11,B12,B13,B16,B15,B14)</f>
        <v>3172</v>
      </c>
      <c r="C3" s="12">
        <f>SUM(C4,C5,C6,C7,C8,C9,,C10,C11,C12,C13,C16,C15,C14)</f>
        <v>740</v>
      </c>
    </row>
    <row r="4" spans="1:5" s="5" customFormat="1" x14ac:dyDescent="0.3">
      <c r="A4" s="4" t="s">
        <v>2</v>
      </c>
      <c r="B4" s="5">
        <f>360+C4</f>
        <v>497</v>
      </c>
      <c r="C4" s="5">
        <v>137</v>
      </c>
    </row>
    <row r="5" spans="1:5" x14ac:dyDescent="0.3">
      <c r="A5" s="4" t="s">
        <v>3</v>
      </c>
      <c r="B5" s="30">
        <f>1101+C5</f>
        <v>1351</v>
      </c>
      <c r="C5" s="30">
        <v>250</v>
      </c>
      <c r="D5" s="5"/>
    </row>
    <row r="6" spans="1:5" x14ac:dyDescent="0.3">
      <c r="A6" s="4" t="s">
        <v>4</v>
      </c>
      <c r="B6" s="19">
        <f>155+C6</f>
        <v>304</v>
      </c>
      <c r="C6" s="6">
        <v>149</v>
      </c>
      <c r="D6" s="5"/>
    </row>
    <row r="7" spans="1:5" x14ac:dyDescent="0.3">
      <c r="A7" s="4" t="s">
        <v>5</v>
      </c>
      <c r="B7" s="32">
        <f>291+C7</f>
        <v>363</v>
      </c>
      <c r="C7" s="5">
        <v>72</v>
      </c>
      <c r="D7" s="5"/>
    </row>
    <row r="8" spans="1:5" s="15" customFormat="1" x14ac:dyDescent="0.3">
      <c r="A8" s="14" t="s">
        <v>6</v>
      </c>
      <c r="B8" s="6">
        <f>13+C8</f>
        <v>15</v>
      </c>
      <c r="C8" s="6">
        <v>2</v>
      </c>
      <c r="D8" s="5"/>
    </row>
    <row r="9" spans="1:5" x14ac:dyDescent="0.3">
      <c r="A9" s="4" t="s">
        <v>7</v>
      </c>
      <c r="B9" s="5">
        <f>56+C9</f>
        <v>76</v>
      </c>
      <c r="C9" s="5">
        <v>20</v>
      </c>
      <c r="D9" s="5"/>
    </row>
    <row r="10" spans="1:5" x14ac:dyDescent="0.3">
      <c r="A10" s="4" t="s">
        <v>8</v>
      </c>
      <c r="B10" s="5">
        <f>85+C10</f>
        <v>100</v>
      </c>
      <c r="C10" s="5">
        <v>15</v>
      </c>
      <c r="D10" s="5"/>
    </row>
    <row r="11" spans="1:5" x14ac:dyDescent="0.3">
      <c r="A11" s="4" t="s">
        <v>9</v>
      </c>
      <c r="B11" s="5">
        <v>0</v>
      </c>
      <c r="C11" s="5">
        <v>0</v>
      </c>
      <c r="D11" s="5"/>
    </row>
    <row r="12" spans="1:5" x14ac:dyDescent="0.3">
      <c r="A12" s="4" t="s">
        <v>10</v>
      </c>
      <c r="B12" s="5">
        <f>268+C12</f>
        <v>347</v>
      </c>
      <c r="C12" s="5">
        <v>79</v>
      </c>
      <c r="D12" s="5"/>
    </row>
    <row r="13" spans="1:5" x14ac:dyDescent="0.3">
      <c r="A13" s="4" t="s">
        <v>11</v>
      </c>
      <c r="B13" s="5">
        <v>12</v>
      </c>
      <c r="C13" s="5">
        <v>0</v>
      </c>
      <c r="D13" s="5"/>
    </row>
    <row r="14" spans="1:5" x14ac:dyDescent="0.3">
      <c r="A14" s="4" t="s">
        <v>12</v>
      </c>
      <c r="B14" s="8">
        <f>48+C14</f>
        <v>64</v>
      </c>
      <c r="C14" s="7">
        <v>16</v>
      </c>
      <c r="D14" s="5"/>
    </row>
    <row r="15" spans="1:5" x14ac:dyDescent="0.3">
      <c r="A15" s="4" t="s">
        <v>13</v>
      </c>
      <c r="B15" s="5">
        <v>43</v>
      </c>
      <c r="C15" s="5">
        <v>0</v>
      </c>
      <c r="D15" s="5" t="s">
        <v>231</v>
      </c>
    </row>
    <row r="16" spans="1:5" x14ac:dyDescent="0.3">
      <c r="A16" s="4" t="s">
        <v>14</v>
      </c>
      <c r="B16" s="5">
        <v>0</v>
      </c>
      <c r="C16" s="5">
        <v>0</v>
      </c>
      <c r="D16" s="5"/>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P24"/>
  <sheetViews>
    <sheetView zoomScale="110" zoomScaleNormal="130" workbookViewId="0">
      <selection activeCell="B16" sqref="B16"/>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257</v>
      </c>
      <c r="B1" s="44"/>
      <c r="C1" s="44"/>
      <c r="D1" s="44"/>
      <c r="E1" s="2"/>
    </row>
    <row r="2" spans="1:5" x14ac:dyDescent="0.3">
      <c r="B2" s="9" t="s">
        <v>1</v>
      </c>
      <c r="C2" s="10" t="s">
        <v>0</v>
      </c>
    </row>
    <row r="3" spans="1:5" ht="15" thickBot="1" x14ac:dyDescent="0.35">
      <c r="B3" s="20">
        <f>SUM(B4,B5,B6,B7,B8,B9,B10,B11,B12,B13,B16,B15,B14)</f>
        <v>3332</v>
      </c>
      <c r="C3" s="12">
        <f>SUM(C4,C5,C6,C7,C8,C9,,C10,C11,C12,C13,C16,C15,C14)</f>
        <v>764</v>
      </c>
    </row>
    <row r="4" spans="1:5" s="5" customFormat="1" x14ac:dyDescent="0.3">
      <c r="A4" s="4" t="s">
        <v>2</v>
      </c>
      <c r="B4" s="5">
        <f>373+C4</f>
        <v>505</v>
      </c>
      <c r="C4" s="5">
        <v>132</v>
      </c>
    </row>
    <row r="5" spans="1:5" x14ac:dyDescent="0.3">
      <c r="A5" s="4" t="s">
        <v>3</v>
      </c>
      <c r="B5" s="30">
        <f>1094+C5</f>
        <v>1342</v>
      </c>
      <c r="C5" s="30">
        <v>248</v>
      </c>
      <c r="D5" s="5"/>
    </row>
    <row r="6" spans="1:5" x14ac:dyDescent="0.3">
      <c r="A6" s="4" t="s">
        <v>4</v>
      </c>
      <c r="B6" s="19">
        <f>271+C6</f>
        <v>425</v>
      </c>
      <c r="C6" s="6">
        <v>154</v>
      </c>
      <c r="D6" s="5"/>
    </row>
    <row r="7" spans="1:5" x14ac:dyDescent="0.3">
      <c r="A7" s="4" t="s">
        <v>5</v>
      </c>
      <c r="B7" s="32">
        <f>302+C7</f>
        <v>388</v>
      </c>
      <c r="C7" s="5">
        <v>86</v>
      </c>
      <c r="D7" s="5"/>
    </row>
    <row r="8" spans="1:5" s="15" customFormat="1" x14ac:dyDescent="0.3">
      <c r="A8" s="14" t="s">
        <v>6</v>
      </c>
      <c r="B8" s="6">
        <f>11+C8</f>
        <v>15</v>
      </c>
      <c r="C8" s="6">
        <v>4</v>
      </c>
      <c r="D8" s="5"/>
    </row>
    <row r="9" spans="1:5" x14ac:dyDescent="0.3">
      <c r="A9" s="4" t="s">
        <v>7</v>
      </c>
      <c r="B9" s="5">
        <f>55+C9</f>
        <v>86</v>
      </c>
      <c r="C9" s="5">
        <v>31</v>
      </c>
      <c r="D9" s="5"/>
    </row>
    <row r="10" spans="1:5" x14ac:dyDescent="0.3">
      <c r="A10" s="4" t="s">
        <v>8</v>
      </c>
      <c r="B10" s="5">
        <f>85+C10</f>
        <v>100</v>
      </c>
      <c r="C10" s="5">
        <v>15</v>
      </c>
      <c r="D10" s="5"/>
    </row>
    <row r="11" spans="1:5" x14ac:dyDescent="0.3">
      <c r="A11" s="4" t="s">
        <v>9</v>
      </c>
      <c r="B11" s="5">
        <v>0</v>
      </c>
      <c r="C11" s="5">
        <v>0</v>
      </c>
      <c r="D11" s="5"/>
    </row>
    <row r="12" spans="1:5" x14ac:dyDescent="0.3">
      <c r="A12" s="4" t="s">
        <v>10</v>
      </c>
      <c r="B12" s="5">
        <f>270+C12</f>
        <v>348</v>
      </c>
      <c r="C12" s="5">
        <v>78</v>
      </c>
      <c r="D12" s="5"/>
    </row>
    <row r="13" spans="1:5" x14ac:dyDescent="0.3">
      <c r="A13" s="4" t="s">
        <v>11</v>
      </c>
      <c r="B13" s="5">
        <v>14</v>
      </c>
      <c r="C13" s="5">
        <v>0</v>
      </c>
      <c r="D13" s="5"/>
    </row>
    <row r="14" spans="1:5" x14ac:dyDescent="0.3">
      <c r="A14" s="4" t="s">
        <v>12</v>
      </c>
      <c r="B14" s="8">
        <f>47+C14</f>
        <v>63</v>
      </c>
      <c r="C14" s="7">
        <v>16</v>
      </c>
      <c r="D14" s="5"/>
    </row>
    <row r="15" spans="1:5" x14ac:dyDescent="0.3">
      <c r="A15" s="4" t="s">
        <v>13</v>
      </c>
      <c r="B15" s="5">
        <v>46</v>
      </c>
      <c r="C15" s="5">
        <v>0</v>
      </c>
      <c r="D15" s="5" t="s">
        <v>231</v>
      </c>
    </row>
    <row r="16" spans="1:5" x14ac:dyDescent="0.3">
      <c r="A16" s="4" t="s">
        <v>14</v>
      </c>
      <c r="B16" s="5">
        <v>0</v>
      </c>
      <c r="C16" s="5">
        <v>0</v>
      </c>
      <c r="D16" s="5"/>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P24"/>
  <sheetViews>
    <sheetView zoomScale="110" zoomScaleNormal="130" workbookViewId="0">
      <selection activeCell="B16" sqref="B16"/>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256</v>
      </c>
      <c r="B1" s="44"/>
      <c r="C1" s="44"/>
      <c r="D1" s="44"/>
      <c r="E1" s="2"/>
    </row>
    <row r="2" spans="1:5" x14ac:dyDescent="0.3">
      <c r="B2" s="9" t="s">
        <v>1</v>
      </c>
      <c r="C2" s="10" t="s">
        <v>0</v>
      </c>
    </row>
    <row r="3" spans="1:5" ht="15" thickBot="1" x14ac:dyDescent="0.35">
      <c r="B3" s="20">
        <f>SUM(B4,B5,B6,B7,B8,B9,B10,B11,B12,B13,B16,B15,B14)</f>
        <v>3304</v>
      </c>
      <c r="C3" s="12">
        <f>SUM(C4,C5,C6,C7,C8,C9,,C10,C11,C12,C13,C16,C15,C14)</f>
        <v>774</v>
      </c>
    </row>
    <row r="4" spans="1:5" s="5" customFormat="1" x14ac:dyDescent="0.3">
      <c r="A4" s="4" t="s">
        <v>2</v>
      </c>
      <c r="B4" s="5">
        <f>345+C4</f>
        <v>489</v>
      </c>
      <c r="C4" s="5">
        <v>144</v>
      </c>
    </row>
    <row r="5" spans="1:5" x14ac:dyDescent="0.3">
      <c r="A5" s="4" t="s">
        <v>3</v>
      </c>
      <c r="B5" s="30">
        <f>1094+C5</f>
        <v>1346</v>
      </c>
      <c r="C5" s="30">
        <v>252</v>
      </c>
      <c r="D5" s="5"/>
    </row>
    <row r="6" spans="1:5" x14ac:dyDescent="0.3">
      <c r="A6" s="4" t="s">
        <v>4</v>
      </c>
      <c r="B6" s="19">
        <f>280+C6</f>
        <v>436</v>
      </c>
      <c r="C6" s="6">
        <v>156</v>
      </c>
      <c r="D6" s="5"/>
    </row>
    <row r="7" spans="1:5" x14ac:dyDescent="0.3">
      <c r="A7" s="4" t="s">
        <v>5</v>
      </c>
      <c r="B7" s="32">
        <f>294+C7</f>
        <v>384</v>
      </c>
      <c r="C7" s="5">
        <v>90</v>
      </c>
      <c r="D7" s="5"/>
    </row>
    <row r="8" spans="1:5" s="15" customFormat="1" x14ac:dyDescent="0.3">
      <c r="A8" s="14" t="s">
        <v>6</v>
      </c>
      <c r="B8" s="6">
        <f>10+C8</f>
        <v>15</v>
      </c>
      <c r="C8" s="6">
        <v>5</v>
      </c>
      <c r="D8" s="5"/>
    </row>
    <row r="9" spans="1:5" x14ac:dyDescent="0.3">
      <c r="A9" s="4" t="s">
        <v>7</v>
      </c>
      <c r="B9" s="5">
        <f>50+C9</f>
        <v>73</v>
      </c>
      <c r="C9" s="5">
        <v>23</v>
      </c>
      <c r="D9" s="5"/>
    </row>
    <row r="10" spans="1:5" x14ac:dyDescent="0.3">
      <c r="A10" s="4" t="s">
        <v>8</v>
      </c>
      <c r="B10" s="5">
        <f>98+C10</f>
        <v>116</v>
      </c>
      <c r="C10" s="5">
        <v>18</v>
      </c>
      <c r="D10" s="5"/>
    </row>
    <row r="11" spans="1:5" x14ac:dyDescent="0.3">
      <c r="A11" s="4" t="s">
        <v>9</v>
      </c>
      <c r="B11" s="5">
        <v>0</v>
      </c>
      <c r="C11" s="5">
        <v>0</v>
      </c>
      <c r="D11" s="5"/>
    </row>
    <row r="12" spans="1:5" x14ac:dyDescent="0.3">
      <c r="A12" s="4" t="s">
        <v>10</v>
      </c>
      <c r="B12" s="5">
        <f>267+C12</f>
        <v>340</v>
      </c>
      <c r="C12" s="5">
        <v>73</v>
      </c>
      <c r="D12" s="5"/>
    </row>
    <row r="13" spans="1:5" x14ac:dyDescent="0.3">
      <c r="A13" s="4" t="s">
        <v>11</v>
      </c>
      <c r="B13" s="5">
        <v>14</v>
      </c>
      <c r="C13" s="5">
        <v>0</v>
      </c>
      <c r="D13" s="5"/>
    </row>
    <row r="14" spans="1:5" x14ac:dyDescent="0.3">
      <c r="A14" s="4" t="s">
        <v>12</v>
      </c>
      <c r="B14" s="8">
        <f>40+C14</f>
        <v>53</v>
      </c>
      <c r="C14" s="7">
        <v>13</v>
      </c>
      <c r="D14" s="5"/>
    </row>
    <row r="15" spans="1:5" x14ac:dyDescent="0.3">
      <c r="A15" s="4" t="s">
        <v>13</v>
      </c>
      <c r="B15" s="5">
        <v>38</v>
      </c>
      <c r="C15" s="5">
        <v>0</v>
      </c>
      <c r="D15" s="5" t="s">
        <v>231</v>
      </c>
    </row>
    <row r="16" spans="1:5" x14ac:dyDescent="0.3">
      <c r="A16" s="4" t="s">
        <v>14</v>
      </c>
      <c r="B16" s="5">
        <v>0</v>
      </c>
      <c r="C16" s="5">
        <v>0</v>
      </c>
      <c r="D16" s="5"/>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P24"/>
  <sheetViews>
    <sheetView zoomScale="110" zoomScaleNormal="130" workbookViewId="0">
      <selection activeCell="C25" sqref="C25"/>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255</v>
      </c>
      <c r="B1" s="44"/>
      <c r="C1" s="44"/>
      <c r="D1" s="44"/>
      <c r="E1" s="2"/>
    </row>
    <row r="2" spans="1:5" x14ac:dyDescent="0.3">
      <c r="B2" s="9" t="s">
        <v>1</v>
      </c>
      <c r="C2" s="10" t="s">
        <v>0</v>
      </c>
    </row>
    <row r="3" spans="1:5" ht="15" thickBot="1" x14ac:dyDescent="0.35">
      <c r="B3" s="20">
        <f>SUM(B4,B5,B6,B7,B8,B9,B10,B11,B12,B13,B16,B15,B14)</f>
        <v>3080</v>
      </c>
      <c r="C3" s="12">
        <f>SUM(C4,C5,C6,C7,C8,C9,,C10,C11,C12,C13,C16,C15,C14)</f>
        <v>773</v>
      </c>
    </row>
    <row r="4" spans="1:5" s="5" customFormat="1" x14ac:dyDescent="0.3">
      <c r="A4" s="4" t="s">
        <v>2</v>
      </c>
      <c r="B4" s="5">
        <f>328+C4</f>
        <v>466</v>
      </c>
      <c r="C4" s="5">
        <v>138</v>
      </c>
    </row>
    <row r="5" spans="1:5" x14ac:dyDescent="0.3">
      <c r="A5" s="4" t="s">
        <v>3</v>
      </c>
      <c r="B5" s="30">
        <f>1066+C5</f>
        <v>1329</v>
      </c>
      <c r="C5" s="30">
        <v>263</v>
      </c>
      <c r="D5" s="5"/>
    </row>
    <row r="6" spans="1:5" x14ac:dyDescent="0.3">
      <c r="A6" s="4" t="s">
        <v>4</v>
      </c>
      <c r="B6" s="19">
        <f>146+C6</f>
        <v>305</v>
      </c>
      <c r="C6" s="6">
        <v>159</v>
      </c>
      <c r="D6" s="5"/>
    </row>
    <row r="7" spans="1:5" x14ac:dyDescent="0.3">
      <c r="A7" s="4" t="s">
        <v>5</v>
      </c>
      <c r="B7" s="32">
        <f>290+C7</f>
        <v>378</v>
      </c>
      <c r="C7" s="5">
        <v>88</v>
      </c>
      <c r="D7" s="5"/>
    </row>
    <row r="8" spans="1:5" s="15" customFormat="1" x14ac:dyDescent="0.3">
      <c r="A8" s="14" t="s">
        <v>6</v>
      </c>
      <c r="B8" s="6">
        <f>10+C8</f>
        <v>14</v>
      </c>
      <c r="C8" s="6">
        <v>4</v>
      </c>
      <c r="D8" s="5"/>
    </row>
    <row r="9" spans="1:5" x14ac:dyDescent="0.3">
      <c r="A9" s="4" t="s">
        <v>7</v>
      </c>
      <c r="B9" s="5">
        <f>45+C9</f>
        <v>65</v>
      </c>
      <c r="C9" s="5">
        <v>20</v>
      </c>
      <c r="D9" s="5"/>
    </row>
    <row r="10" spans="1:5" x14ac:dyDescent="0.3">
      <c r="A10" s="4" t="s">
        <v>8</v>
      </c>
      <c r="B10" s="5">
        <f>92+C10</f>
        <v>111</v>
      </c>
      <c r="C10" s="5">
        <v>19</v>
      </c>
      <c r="D10" s="5"/>
    </row>
    <row r="11" spans="1:5" x14ac:dyDescent="0.3">
      <c r="A11" s="4" t="s">
        <v>9</v>
      </c>
      <c r="B11" s="5">
        <v>0</v>
      </c>
      <c r="C11" s="5">
        <v>0</v>
      </c>
      <c r="D11" s="5"/>
    </row>
    <row r="12" spans="1:5" x14ac:dyDescent="0.3">
      <c r="A12" s="4" t="s">
        <v>10</v>
      </c>
      <c r="B12" s="5">
        <f>252+C12</f>
        <v>321</v>
      </c>
      <c r="C12" s="5">
        <v>69</v>
      </c>
      <c r="D12" s="5"/>
    </row>
    <row r="13" spans="1:5" x14ac:dyDescent="0.3">
      <c r="A13" s="4" t="s">
        <v>11</v>
      </c>
      <c r="B13" s="5">
        <v>14</v>
      </c>
      <c r="C13" s="5">
        <v>0</v>
      </c>
      <c r="D13" s="5"/>
    </row>
    <row r="14" spans="1:5" x14ac:dyDescent="0.3">
      <c r="A14" s="4" t="s">
        <v>12</v>
      </c>
      <c r="B14" s="8">
        <f>37+C14</f>
        <v>50</v>
      </c>
      <c r="C14" s="7">
        <v>13</v>
      </c>
      <c r="D14" s="5"/>
    </row>
    <row r="15" spans="1:5" x14ac:dyDescent="0.3">
      <c r="A15" s="4" t="s">
        <v>13</v>
      </c>
      <c r="B15" s="5">
        <v>27</v>
      </c>
      <c r="C15" s="5">
        <v>0</v>
      </c>
      <c r="D15" s="5" t="s">
        <v>231</v>
      </c>
    </row>
    <row r="16" spans="1:5" x14ac:dyDescent="0.3">
      <c r="A16" s="4" t="s">
        <v>14</v>
      </c>
      <c r="B16" s="5">
        <v>0</v>
      </c>
      <c r="C16" s="5">
        <v>0</v>
      </c>
      <c r="D16" s="5"/>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P24"/>
  <sheetViews>
    <sheetView zoomScale="110" zoomScaleNormal="130" workbookViewId="0">
      <selection activeCell="B16" sqref="B16"/>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255</v>
      </c>
      <c r="B1" s="44"/>
      <c r="C1" s="44"/>
      <c r="D1" s="44"/>
      <c r="E1" s="2"/>
    </row>
    <row r="2" spans="1:5" x14ac:dyDescent="0.3">
      <c r="B2" s="9" t="s">
        <v>1</v>
      </c>
      <c r="C2" s="10" t="s">
        <v>0</v>
      </c>
    </row>
    <row r="3" spans="1:5" ht="15" thickBot="1" x14ac:dyDescent="0.35">
      <c r="B3" s="20">
        <f>SUM(B4,B5,B6,B7,B8,B9,B10,B11,B12,B13,B16,B15,B14)</f>
        <v>3080</v>
      </c>
      <c r="C3" s="12">
        <f>SUM(C4,C5,C6,C7,C8,C9,,C10,C11,C12,C13,C16,C15,C14)</f>
        <v>773</v>
      </c>
    </row>
    <row r="4" spans="1:5" s="5" customFormat="1" x14ac:dyDescent="0.3">
      <c r="A4" s="4" t="s">
        <v>2</v>
      </c>
      <c r="B4" s="5">
        <f>328+C4</f>
        <v>466</v>
      </c>
      <c r="C4" s="5">
        <v>138</v>
      </c>
    </row>
    <row r="5" spans="1:5" x14ac:dyDescent="0.3">
      <c r="A5" s="4" t="s">
        <v>3</v>
      </c>
      <c r="B5" s="30">
        <f>1066+C5</f>
        <v>1329</v>
      </c>
      <c r="C5" s="30">
        <v>263</v>
      </c>
      <c r="D5" s="5"/>
    </row>
    <row r="6" spans="1:5" x14ac:dyDescent="0.3">
      <c r="A6" s="4" t="s">
        <v>4</v>
      </c>
      <c r="B6" s="19">
        <f>146+C6</f>
        <v>305</v>
      </c>
      <c r="C6" s="6">
        <v>159</v>
      </c>
      <c r="D6" s="5"/>
    </row>
    <row r="7" spans="1:5" x14ac:dyDescent="0.3">
      <c r="A7" s="4" t="s">
        <v>5</v>
      </c>
      <c r="B7" s="32">
        <f>290+C7</f>
        <v>378</v>
      </c>
      <c r="C7" s="5">
        <v>88</v>
      </c>
      <c r="D7" s="5"/>
    </row>
    <row r="8" spans="1:5" s="15" customFormat="1" x14ac:dyDescent="0.3">
      <c r="A8" s="14" t="s">
        <v>6</v>
      </c>
      <c r="B8" s="6">
        <f>10+C8</f>
        <v>14</v>
      </c>
      <c r="C8" s="6">
        <v>4</v>
      </c>
      <c r="D8" s="5"/>
    </row>
    <row r="9" spans="1:5" x14ac:dyDescent="0.3">
      <c r="A9" s="4" t="s">
        <v>7</v>
      </c>
      <c r="B9" s="5">
        <f>45+C9</f>
        <v>65</v>
      </c>
      <c r="C9" s="5">
        <v>20</v>
      </c>
      <c r="D9" s="5"/>
    </row>
    <row r="10" spans="1:5" x14ac:dyDescent="0.3">
      <c r="A10" s="4" t="s">
        <v>8</v>
      </c>
      <c r="B10" s="5">
        <f>92+C10</f>
        <v>111</v>
      </c>
      <c r="C10" s="5">
        <v>19</v>
      </c>
      <c r="D10" s="5"/>
    </row>
    <row r="11" spans="1:5" x14ac:dyDescent="0.3">
      <c r="A11" s="4" t="s">
        <v>9</v>
      </c>
      <c r="B11" s="5">
        <v>0</v>
      </c>
      <c r="C11" s="5">
        <v>0</v>
      </c>
      <c r="D11" s="5"/>
    </row>
    <row r="12" spans="1:5" x14ac:dyDescent="0.3">
      <c r="A12" s="4" t="s">
        <v>10</v>
      </c>
      <c r="B12" s="5">
        <f>252+C12</f>
        <v>321</v>
      </c>
      <c r="C12" s="5">
        <v>69</v>
      </c>
      <c r="D12" s="5"/>
    </row>
    <row r="13" spans="1:5" x14ac:dyDescent="0.3">
      <c r="A13" s="4" t="s">
        <v>11</v>
      </c>
      <c r="B13" s="5">
        <v>14</v>
      </c>
      <c r="C13" s="5">
        <v>0</v>
      </c>
      <c r="D13" s="5"/>
    </row>
    <row r="14" spans="1:5" x14ac:dyDescent="0.3">
      <c r="A14" s="4" t="s">
        <v>12</v>
      </c>
      <c r="B14" s="8">
        <f>37+C14</f>
        <v>50</v>
      </c>
      <c r="C14" s="7">
        <v>13</v>
      </c>
      <c r="D14" s="5"/>
    </row>
    <row r="15" spans="1:5" x14ac:dyDescent="0.3">
      <c r="A15" s="4" t="s">
        <v>13</v>
      </c>
      <c r="B15" s="5">
        <v>27</v>
      </c>
      <c r="C15" s="5">
        <v>0</v>
      </c>
      <c r="D15" s="5" t="s">
        <v>231</v>
      </c>
    </row>
    <row r="16" spans="1:5" x14ac:dyDescent="0.3">
      <c r="A16" s="4" t="s">
        <v>14</v>
      </c>
      <c r="B16" s="5">
        <v>0</v>
      </c>
      <c r="C16" s="5">
        <v>0</v>
      </c>
      <c r="D16" s="5"/>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P24"/>
  <sheetViews>
    <sheetView zoomScale="110" zoomScaleNormal="130" workbookViewId="0">
      <selection activeCell="B15" sqref="B15"/>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254</v>
      </c>
      <c r="B1" s="44"/>
      <c r="C1" s="44"/>
      <c r="D1" s="44"/>
      <c r="E1" s="2"/>
    </row>
    <row r="2" spans="1:5" x14ac:dyDescent="0.3">
      <c r="B2" s="9" t="s">
        <v>1</v>
      </c>
      <c r="C2" s="10" t="s">
        <v>0</v>
      </c>
    </row>
    <row r="3" spans="1:5" ht="15" thickBot="1" x14ac:dyDescent="0.35">
      <c r="B3" s="20">
        <f>SUM(B4,B5,B6,B7,B8,B9,B10,B11,B12,B13,B16,B15,B14)</f>
        <v>3244</v>
      </c>
      <c r="C3" s="12">
        <f>SUM(C4,C5,C6,C7,C8,C9,,C10,C11,C12,C13,C16,C15,C14)</f>
        <v>780</v>
      </c>
    </row>
    <row r="4" spans="1:5" s="5" customFormat="1" x14ac:dyDescent="0.3">
      <c r="A4" s="4" t="s">
        <v>2</v>
      </c>
      <c r="B4" s="5">
        <f>316+C4</f>
        <v>457</v>
      </c>
      <c r="C4" s="5">
        <v>141</v>
      </c>
    </row>
    <row r="5" spans="1:5" x14ac:dyDescent="0.3">
      <c r="A5" s="4" t="s">
        <v>3</v>
      </c>
      <c r="B5" s="30">
        <f>1100+C5</f>
        <v>1363</v>
      </c>
      <c r="C5" s="30">
        <v>263</v>
      </c>
      <c r="D5" s="5"/>
    </row>
    <row r="6" spans="1:5" x14ac:dyDescent="0.3">
      <c r="A6" s="4" t="s">
        <v>4</v>
      </c>
      <c r="B6" s="19">
        <f>292+C6</f>
        <v>464</v>
      </c>
      <c r="C6" s="6">
        <v>172</v>
      </c>
      <c r="D6" s="5"/>
    </row>
    <row r="7" spans="1:5" x14ac:dyDescent="0.3">
      <c r="A7" s="4" t="s">
        <v>5</v>
      </c>
      <c r="B7" s="32">
        <f>306+C7</f>
        <v>397</v>
      </c>
      <c r="C7" s="5">
        <v>91</v>
      </c>
      <c r="D7" s="5"/>
    </row>
    <row r="8" spans="1:5" s="15" customFormat="1" x14ac:dyDescent="0.3">
      <c r="A8" s="14" t="s">
        <v>6</v>
      </c>
      <c r="B8" s="6">
        <f>12+C8</f>
        <v>13</v>
      </c>
      <c r="C8" s="6">
        <v>1</v>
      </c>
      <c r="D8" s="5"/>
    </row>
    <row r="9" spans="1:5" x14ac:dyDescent="0.3">
      <c r="A9" s="4" t="s">
        <v>7</v>
      </c>
      <c r="B9" s="5">
        <f>40+C9</f>
        <v>56</v>
      </c>
      <c r="C9" s="5">
        <v>16</v>
      </c>
      <c r="D9" s="5"/>
    </row>
    <row r="10" spans="1:5" x14ac:dyDescent="0.3">
      <c r="A10" s="4" t="s">
        <v>8</v>
      </c>
      <c r="B10" s="5">
        <f>77+C10</f>
        <v>96</v>
      </c>
      <c r="C10" s="5">
        <v>19</v>
      </c>
      <c r="D10" s="5"/>
    </row>
    <row r="11" spans="1:5" x14ac:dyDescent="0.3">
      <c r="A11" s="4" t="s">
        <v>9</v>
      </c>
      <c r="B11" s="5">
        <v>0</v>
      </c>
      <c r="C11" s="5">
        <v>0</v>
      </c>
      <c r="D11" s="5"/>
    </row>
    <row r="12" spans="1:5" x14ac:dyDescent="0.3">
      <c r="A12" s="4" t="s">
        <v>10</v>
      </c>
      <c r="B12" s="5">
        <f>246+C12</f>
        <v>311</v>
      </c>
      <c r="C12" s="5">
        <v>65</v>
      </c>
      <c r="D12" s="5"/>
    </row>
    <row r="13" spans="1:5" x14ac:dyDescent="0.3">
      <c r="A13" s="4" t="s">
        <v>11</v>
      </c>
      <c r="B13" s="5">
        <v>4</v>
      </c>
      <c r="C13" s="5">
        <v>0</v>
      </c>
      <c r="D13" s="5"/>
    </row>
    <row r="14" spans="1:5" x14ac:dyDescent="0.3">
      <c r="A14" s="4" t="s">
        <v>12</v>
      </c>
      <c r="B14" s="8">
        <f>33+C14</f>
        <v>45</v>
      </c>
      <c r="C14" s="7">
        <v>12</v>
      </c>
      <c r="D14" s="5"/>
    </row>
    <row r="15" spans="1:5" x14ac:dyDescent="0.3">
      <c r="A15" s="4" t="s">
        <v>13</v>
      </c>
      <c r="B15" s="5">
        <v>38</v>
      </c>
      <c r="C15" s="5">
        <v>0</v>
      </c>
      <c r="D15" s="5" t="s">
        <v>231</v>
      </c>
    </row>
    <row r="16" spans="1:5" x14ac:dyDescent="0.3">
      <c r="A16" s="4" t="s">
        <v>14</v>
      </c>
      <c r="B16" s="5">
        <v>0</v>
      </c>
      <c r="C16" s="5">
        <v>0</v>
      </c>
      <c r="D16" s="5"/>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P24"/>
  <sheetViews>
    <sheetView zoomScale="110" zoomScaleNormal="130" workbookViewId="0">
      <selection activeCell="C16" sqref="C16"/>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253</v>
      </c>
      <c r="B1" s="44"/>
      <c r="C1" s="44"/>
      <c r="D1" s="44"/>
      <c r="E1" s="2"/>
    </row>
    <row r="2" spans="1:5" x14ac:dyDescent="0.3">
      <c r="B2" s="9" t="s">
        <v>1</v>
      </c>
      <c r="C2" s="10" t="s">
        <v>0</v>
      </c>
    </row>
    <row r="3" spans="1:5" ht="15" thickBot="1" x14ac:dyDescent="0.35">
      <c r="B3" s="20">
        <f>SUM(B4,B5,B6,B7,B8,B9,B10,B11,B12,B13,B16,B15,B14)</f>
        <v>3047</v>
      </c>
      <c r="C3" s="12">
        <f>SUM(C4,C5,C6,C7,C8,C9,,C10,C11,C12,C13,C16,C15,C14)</f>
        <v>776</v>
      </c>
    </row>
    <row r="4" spans="1:5" s="5" customFormat="1" x14ac:dyDescent="0.3">
      <c r="A4" s="4" t="s">
        <v>2</v>
      </c>
      <c r="B4" s="5">
        <f>319+C4</f>
        <v>468</v>
      </c>
      <c r="C4" s="5">
        <v>149</v>
      </c>
    </row>
    <row r="5" spans="1:5" x14ac:dyDescent="0.3">
      <c r="A5" s="4" t="s">
        <v>3</v>
      </c>
      <c r="B5" s="30">
        <f>1061+C5</f>
        <v>1304</v>
      </c>
      <c r="C5" s="30">
        <v>243</v>
      </c>
      <c r="D5" s="5"/>
    </row>
    <row r="6" spans="1:5" x14ac:dyDescent="0.3">
      <c r="A6" s="4" t="s">
        <v>4</v>
      </c>
      <c r="B6" s="19">
        <f>186+C6</f>
        <v>370</v>
      </c>
      <c r="C6" s="6">
        <v>184</v>
      </c>
      <c r="D6" s="5"/>
    </row>
    <row r="7" spans="1:5" x14ac:dyDescent="0.3">
      <c r="A7" s="4" t="s">
        <v>5</v>
      </c>
      <c r="B7" s="32">
        <f>299+C7</f>
        <v>394</v>
      </c>
      <c r="C7" s="5">
        <v>95</v>
      </c>
      <c r="D7" s="5"/>
    </row>
    <row r="8" spans="1:5" s="15" customFormat="1" x14ac:dyDescent="0.3">
      <c r="A8" s="14" t="s">
        <v>6</v>
      </c>
      <c r="B8" s="6">
        <v>13</v>
      </c>
      <c r="C8" s="6">
        <v>1</v>
      </c>
      <c r="D8" s="5"/>
    </row>
    <row r="9" spans="1:5" x14ac:dyDescent="0.3">
      <c r="A9" s="4" t="s">
        <v>7</v>
      </c>
      <c r="B9" s="5">
        <f>33+C9</f>
        <v>48</v>
      </c>
      <c r="C9" s="5">
        <v>15</v>
      </c>
      <c r="D9" s="5"/>
    </row>
    <row r="10" spans="1:5" x14ac:dyDescent="0.3">
      <c r="A10" s="4" t="s">
        <v>8</v>
      </c>
      <c r="B10" s="5">
        <f>68+C10</f>
        <v>82</v>
      </c>
      <c r="C10" s="5">
        <v>14</v>
      </c>
      <c r="D10" s="5"/>
    </row>
    <row r="11" spans="1:5" x14ac:dyDescent="0.3">
      <c r="A11" s="4" t="s">
        <v>9</v>
      </c>
      <c r="B11" s="5">
        <v>0</v>
      </c>
      <c r="C11" s="5">
        <v>0</v>
      </c>
      <c r="D11" s="5"/>
    </row>
    <row r="12" spans="1:5" x14ac:dyDescent="0.3">
      <c r="A12" s="4" t="s">
        <v>10</v>
      </c>
      <c r="B12" s="5">
        <f>218+C12</f>
        <v>281</v>
      </c>
      <c r="C12" s="5">
        <v>63</v>
      </c>
      <c r="D12" s="5"/>
    </row>
    <row r="13" spans="1:5" x14ac:dyDescent="0.3">
      <c r="A13" s="4" t="s">
        <v>11</v>
      </c>
      <c r="B13" s="5">
        <v>3</v>
      </c>
      <c r="C13" s="5">
        <v>0</v>
      </c>
      <c r="D13" s="5"/>
    </row>
    <row r="14" spans="1:5" x14ac:dyDescent="0.3">
      <c r="A14" s="4" t="s">
        <v>12</v>
      </c>
      <c r="B14" s="8">
        <f>30+C14</f>
        <v>42</v>
      </c>
      <c r="C14" s="7">
        <v>12</v>
      </c>
      <c r="D14" s="5"/>
    </row>
    <row r="15" spans="1:5" x14ac:dyDescent="0.3">
      <c r="A15" s="4" t="s">
        <v>13</v>
      </c>
      <c r="B15" s="5">
        <v>42</v>
      </c>
      <c r="C15" s="5">
        <v>0</v>
      </c>
      <c r="D15" s="5" t="s">
        <v>231</v>
      </c>
    </row>
    <row r="16" spans="1:5" x14ac:dyDescent="0.3">
      <c r="A16" s="4" t="s">
        <v>14</v>
      </c>
      <c r="B16" s="5">
        <v>0</v>
      </c>
      <c r="C16" s="5">
        <v>0</v>
      </c>
      <c r="D16" s="5"/>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P24"/>
  <sheetViews>
    <sheetView zoomScale="110" zoomScaleNormal="130" workbookViewId="0">
      <selection activeCell="A24" sqref="A24"/>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252</v>
      </c>
      <c r="B1" s="44"/>
      <c r="C1" s="44"/>
      <c r="D1" s="44"/>
      <c r="E1" s="2"/>
    </row>
    <row r="2" spans="1:5" x14ac:dyDescent="0.3">
      <c r="B2" s="9" t="s">
        <v>1</v>
      </c>
      <c r="C2" s="10" t="s">
        <v>0</v>
      </c>
    </row>
    <row r="3" spans="1:5" ht="15" thickBot="1" x14ac:dyDescent="0.35">
      <c r="B3" s="20">
        <f>SUM(B4,B5,B6,B7,B8,B9,B10,B11,B12,B13,B16,B15,B14)</f>
        <v>3143</v>
      </c>
      <c r="C3" s="12">
        <f>SUM(C4,C5,C6,C7,C8,C9,,C10,C11,C12,C13,C16,C15,C14)</f>
        <v>755</v>
      </c>
    </row>
    <row r="4" spans="1:5" s="5" customFormat="1" x14ac:dyDescent="0.3">
      <c r="A4" s="4" t="s">
        <v>2</v>
      </c>
      <c r="B4" s="5">
        <f>330+C4</f>
        <v>478</v>
      </c>
      <c r="C4" s="5">
        <v>148</v>
      </c>
    </row>
    <row r="5" spans="1:5" x14ac:dyDescent="0.3">
      <c r="A5" s="4" t="s">
        <v>3</v>
      </c>
      <c r="B5" s="30">
        <f>1058+C5</f>
        <v>1284</v>
      </c>
      <c r="C5" s="30">
        <v>226</v>
      </c>
      <c r="D5" s="5"/>
    </row>
    <row r="6" spans="1:5" x14ac:dyDescent="0.3">
      <c r="A6" s="4" t="s">
        <v>4</v>
      </c>
      <c r="B6" s="19">
        <f>308+C6</f>
        <v>501</v>
      </c>
      <c r="C6" s="6">
        <v>193</v>
      </c>
      <c r="D6" s="5"/>
    </row>
    <row r="7" spans="1:5" x14ac:dyDescent="0.3">
      <c r="A7" s="4" t="s">
        <v>5</v>
      </c>
      <c r="B7" s="32">
        <f>298+C7</f>
        <v>389</v>
      </c>
      <c r="C7" s="5">
        <v>91</v>
      </c>
      <c r="D7" s="5"/>
    </row>
    <row r="8" spans="1:5" s="15" customFormat="1" x14ac:dyDescent="0.3">
      <c r="A8" s="14" t="s">
        <v>6</v>
      </c>
      <c r="B8" s="6">
        <v>13</v>
      </c>
      <c r="C8" s="6">
        <v>1</v>
      </c>
      <c r="D8" s="5"/>
    </row>
    <row r="9" spans="1:5" x14ac:dyDescent="0.3">
      <c r="A9" s="4" t="s">
        <v>7</v>
      </c>
      <c r="B9" s="5">
        <f>27+C9</f>
        <v>39</v>
      </c>
      <c r="C9" s="5">
        <v>12</v>
      </c>
      <c r="D9" s="5"/>
    </row>
    <row r="10" spans="1:5" x14ac:dyDescent="0.3">
      <c r="A10" s="4" t="s">
        <v>8</v>
      </c>
      <c r="B10" s="5">
        <f>68+C10</f>
        <v>82</v>
      </c>
      <c r="C10" s="5">
        <v>14</v>
      </c>
      <c r="D10" s="5"/>
    </row>
    <row r="11" spans="1:5" x14ac:dyDescent="0.3">
      <c r="A11" s="4" t="s">
        <v>9</v>
      </c>
      <c r="B11" s="5">
        <v>0</v>
      </c>
      <c r="C11" s="5">
        <v>0</v>
      </c>
      <c r="D11" s="5"/>
    </row>
    <row r="12" spans="1:5" x14ac:dyDescent="0.3">
      <c r="A12" s="4" t="s">
        <v>10</v>
      </c>
      <c r="B12" s="5">
        <f>215+C12</f>
        <v>273</v>
      </c>
      <c r="C12" s="5">
        <v>58</v>
      </c>
      <c r="D12" s="5"/>
    </row>
    <row r="13" spans="1:5" x14ac:dyDescent="0.3">
      <c r="A13" s="4" t="s">
        <v>11</v>
      </c>
      <c r="B13" s="5">
        <v>2</v>
      </c>
      <c r="C13" s="5">
        <v>0</v>
      </c>
      <c r="D13" s="5"/>
    </row>
    <row r="14" spans="1:5" x14ac:dyDescent="0.3">
      <c r="A14" s="4" t="s">
        <v>12</v>
      </c>
      <c r="B14" s="8">
        <f>30+C14</f>
        <v>42</v>
      </c>
      <c r="C14" s="7">
        <v>12</v>
      </c>
      <c r="D14" s="5"/>
    </row>
    <row r="15" spans="1:5" x14ac:dyDescent="0.3">
      <c r="A15" s="4" t="s">
        <v>13</v>
      </c>
      <c r="B15" s="5">
        <v>40</v>
      </c>
      <c r="C15" s="5">
        <v>0</v>
      </c>
      <c r="D15" s="5" t="s">
        <v>231</v>
      </c>
    </row>
    <row r="16" spans="1:5" x14ac:dyDescent="0.3">
      <c r="A16" s="4" t="s">
        <v>14</v>
      </c>
      <c r="B16" s="5">
        <v>0</v>
      </c>
      <c r="C16" s="5">
        <v>0</v>
      </c>
      <c r="D16" s="5"/>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P24"/>
  <sheetViews>
    <sheetView zoomScale="110" zoomScaleNormal="130" workbookViewId="0">
      <selection activeCell="D17" sqref="D17"/>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251</v>
      </c>
      <c r="B1" s="44"/>
      <c r="C1" s="44"/>
      <c r="D1" s="44"/>
      <c r="E1" s="2"/>
    </row>
    <row r="2" spans="1:5" x14ac:dyDescent="0.3">
      <c r="B2" s="9" t="s">
        <v>1</v>
      </c>
      <c r="C2" s="10" t="s">
        <v>0</v>
      </c>
    </row>
    <row r="3" spans="1:5" ht="15" thickBot="1" x14ac:dyDescent="0.35">
      <c r="B3" s="20">
        <f>SUM(B4,B5,B6,B7,B8,B9,B10,B11,B12,B13,B16,B15,B14)</f>
        <v>3067</v>
      </c>
      <c r="C3" s="12">
        <f>SUM(C4,C5,C6,C7,C8,C9,,C10,C11,C12,C13,C16,C15,C14)</f>
        <v>759</v>
      </c>
    </row>
    <row r="4" spans="1:5" s="5" customFormat="1" x14ac:dyDescent="0.3">
      <c r="A4" s="4" t="s">
        <v>2</v>
      </c>
      <c r="B4" s="5">
        <f>324+C4</f>
        <v>481</v>
      </c>
      <c r="C4" s="5">
        <v>157</v>
      </c>
    </row>
    <row r="5" spans="1:5" x14ac:dyDescent="0.3">
      <c r="A5" s="4" t="s">
        <v>3</v>
      </c>
      <c r="B5" s="30">
        <f>1040+C5</f>
        <v>1270</v>
      </c>
      <c r="C5" s="30">
        <v>230</v>
      </c>
      <c r="D5" s="5"/>
    </row>
    <row r="6" spans="1:5" x14ac:dyDescent="0.3">
      <c r="A6" s="4" t="s">
        <v>4</v>
      </c>
      <c r="B6" s="19">
        <f>299+C6</f>
        <v>486</v>
      </c>
      <c r="C6" s="6">
        <v>187</v>
      </c>
      <c r="D6" s="5"/>
    </row>
    <row r="7" spans="1:5" x14ac:dyDescent="0.3">
      <c r="A7" s="4" t="s">
        <v>5</v>
      </c>
      <c r="B7" s="32">
        <f>280+C7</f>
        <v>371</v>
      </c>
      <c r="C7" s="5">
        <v>91</v>
      </c>
      <c r="D7" s="5"/>
    </row>
    <row r="8" spans="1:5" s="15" customFormat="1" x14ac:dyDescent="0.3">
      <c r="A8" s="14" t="s">
        <v>6</v>
      </c>
      <c r="B8" s="6">
        <v>10</v>
      </c>
      <c r="C8" s="6">
        <v>0</v>
      </c>
      <c r="D8" s="5"/>
    </row>
    <row r="9" spans="1:5" x14ac:dyDescent="0.3">
      <c r="A9" s="4" t="s">
        <v>7</v>
      </c>
      <c r="B9" s="5">
        <v>26</v>
      </c>
      <c r="C9" s="5">
        <v>15</v>
      </c>
      <c r="D9" s="5"/>
    </row>
    <row r="10" spans="1:5" x14ac:dyDescent="0.3">
      <c r="A10" s="4" t="s">
        <v>8</v>
      </c>
      <c r="B10" s="5">
        <f>66+C10</f>
        <v>80</v>
      </c>
      <c r="C10" s="5">
        <v>14</v>
      </c>
      <c r="D10" s="5"/>
    </row>
    <row r="11" spans="1:5" x14ac:dyDescent="0.3">
      <c r="A11" s="4" t="s">
        <v>9</v>
      </c>
      <c r="B11" s="5">
        <v>0</v>
      </c>
      <c r="C11" s="5">
        <v>0</v>
      </c>
      <c r="D11" s="5"/>
    </row>
    <row r="12" spans="1:5" x14ac:dyDescent="0.3">
      <c r="A12" s="4" t="s">
        <v>10</v>
      </c>
      <c r="B12" s="5">
        <f>211+C12</f>
        <v>265</v>
      </c>
      <c r="C12" s="5">
        <v>54</v>
      </c>
      <c r="D12" s="5"/>
    </row>
    <row r="13" spans="1:5" x14ac:dyDescent="0.3">
      <c r="A13" s="4" t="s">
        <v>11</v>
      </c>
      <c r="B13" s="5">
        <v>1</v>
      </c>
      <c r="C13" s="5">
        <v>0</v>
      </c>
      <c r="D13" s="5"/>
    </row>
    <row r="14" spans="1:5" x14ac:dyDescent="0.3">
      <c r="A14" s="4" t="s">
        <v>12</v>
      </c>
      <c r="B14" s="8">
        <f>27+C14</f>
        <v>38</v>
      </c>
      <c r="C14" s="7">
        <v>11</v>
      </c>
      <c r="D14" s="5"/>
    </row>
    <row r="15" spans="1:5" x14ac:dyDescent="0.3">
      <c r="A15" s="4" t="s">
        <v>13</v>
      </c>
      <c r="B15" s="5">
        <v>39</v>
      </c>
      <c r="C15" s="5">
        <v>0</v>
      </c>
      <c r="D15" s="5" t="s">
        <v>231</v>
      </c>
    </row>
    <row r="16" spans="1:5" x14ac:dyDescent="0.3">
      <c r="A16" s="4" t="s">
        <v>14</v>
      </c>
      <c r="B16" s="5">
        <v>0</v>
      </c>
      <c r="C16" s="5">
        <v>0</v>
      </c>
      <c r="D16" s="5"/>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P24"/>
  <sheetViews>
    <sheetView zoomScale="110" zoomScaleNormal="130" workbookViewId="0">
      <selection sqref="A1:D1"/>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250</v>
      </c>
      <c r="B1" s="44"/>
      <c r="C1" s="44"/>
      <c r="D1" s="44"/>
      <c r="E1" s="2"/>
    </row>
    <row r="2" spans="1:5" x14ac:dyDescent="0.3">
      <c r="B2" s="9" t="s">
        <v>1</v>
      </c>
      <c r="C2" s="10" t="s">
        <v>0</v>
      </c>
    </row>
    <row r="3" spans="1:5" ht="15" thickBot="1" x14ac:dyDescent="0.35">
      <c r="B3" s="20">
        <f>SUM(B4,B5,B6,B7,B8,B9,B10,B11,B12,B13,B16,B15,B14)</f>
        <v>2765</v>
      </c>
      <c r="C3" s="12">
        <f>SUM(C4,C5,C6,C7,C8,C9,,C10,C11,C12,C13,C16,C15,C14)</f>
        <v>706</v>
      </c>
    </row>
    <row r="4" spans="1:5" s="5" customFormat="1" x14ac:dyDescent="0.3">
      <c r="A4" s="4" t="s">
        <v>2</v>
      </c>
      <c r="B4" s="5">
        <f>298+C4</f>
        <v>434</v>
      </c>
      <c r="C4" s="5">
        <v>136</v>
      </c>
    </row>
    <row r="5" spans="1:5" x14ac:dyDescent="0.3">
      <c r="A5" s="4" t="s">
        <v>3</v>
      </c>
      <c r="B5" s="30">
        <f>911+C5</f>
        <v>1126</v>
      </c>
      <c r="C5" s="30">
        <v>215</v>
      </c>
      <c r="D5" s="5"/>
    </row>
    <row r="6" spans="1:5" x14ac:dyDescent="0.3">
      <c r="A6" s="4" t="s">
        <v>4</v>
      </c>
      <c r="B6" s="19">
        <f>233+C6</f>
        <v>410</v>
      </c>
      <c r="C6" s="6">
        <v>177</v>
      </c>
      <c r="D6" s="5"/>
    </row>
    <row r="7" spans="1:5" x14ac:dyDescent="0.3">
      <c r="A7" s="4" t="s">
        <v>5</v>
      </c>
      <c r="B7" s="32">
        <f>280+C7</f>
        <v>372</v>
      </c>
      <c r="C7" s="5">
        <v>92</v>
      </c>
      <c r="D7" s="5"/>
    </row>
    <row r="8" spans="1:5" s="15" customFormat="1" x14ac:dyDescent="0.3">
      <c r="A8" s="14" t="s">
        <v>6</v>
      </c>
      <c r="B8" s="6">
        <v>8</v>
      </c>
      <c r="C8" s="6">
        <v>0</v>
      </c>
      <c r="D8" s="5"/>
    </row>
    <row r="9" spans="1:5" x14ac:dyDescent="0.3">
      <c r="A9" s="4" t="s">
        <v>7</v>
      </c>
      <c r="B9" s="5">
        <f>17+C9</f>
        <v>27</v>
      </c>
      <c r="C9" s="5">
        <v>10</v>
      </c>
      <c r="D9" s="5"/>
    </row>
    <row r="10" spans="1:5" x14ac:dyDescent="0.3">
      <c r="A10" s="4" t="s">
        <v>8</v>
      </c>
      <c r="B10" s="5">
        <f>66+C10</f>
        <v>80</v>
      </c>
      <c r="C10" s="5">
        <v>14</v>
      </c>
      <c r="D10" s="5"/>
    </row>
    <row r="11" spans="1:5" x14ac:dyDescent="0.3">
      <c r="A11" s="4" t="s">
        <v>9</v>
      </c>
      <c r="B11" s="5">
        <v>0</v>
      </c>
      <c r="C11" s="5">
        <v>0</v>
      </c>
      <c r="D11" s="5"/>
    </row>
    <row r="12" spans="1:5" x14ac:dyDescent="0.3">
      <c r="A12" s="4" t="s">
        <v>10</v>
      </c>
      <c r="B12" s="5">
        <f>194+C12</f>
        <v>249</v>
      </c>
      <c r="C12" s="5">
        <v>55</v>
      </c>
      <c r="D12" s="5"/>
    </row>
    <row r="13" spans="1:5" x14ac:dyDescent="0.3">
      <c r="A13" s="4" t="s">
        <v>11</v>
      </c>
      <c r="B13" s="5">
        <v>1</v>
      </c>
      <c r="C13" s="5">
        <v>0</v>
      </c>
      <c r="D13" s="5"/>
    </row>
    <row r="14" spans="1:5" x14ac:dyDescent="0.3">
      <c r="A14" s="4" t="s">
        <v>12</v>
      </c>
      <c r="B14" s="8">
        <f>26+C14</f>
        <v>33</v>
      </c>
      <c r="C14" s="7">
        <v>7</v>
      </c>
      <c r="D14" s="5"/>
    </row>
    <row r="15" spans="1:5" x14ac:dyDescent="0.3">
      <c r="A15" s="4" t="s">
        <v>13</v>
      </c>
      <c r="B15" s="5">
        <v>25</v>
      </c>
      <c r="C15" s="5">
        <v>0</v>
      </c>
      <c r="D15" s="5" t="s">
        <v>231</v>
      </c>
    </row>
    <row r="16" spans="1:5" x14ac:dyDescent="0.3">
      <c r="A16" s="4" t="s">
        <v>14</v>
      </c>
      <c r="B16" s="5">
        <v>0</v>
      </c>
      <c r="C16" s="5">
        <v>0</v>
      </c>
      <c r="D16" s="5"/>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B92B7-6EED-4AF4-AB01-55A22E57A18B}">
  <dimension ref="A1:P27"/>
  <sheetViews>
    <sheetView zoomScaleNormal="100" workbookViewId="0">
      <selection sqref="A1:D1"/>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500</v>
      </c>
      <c r="B1" s="44"/>
      <c r="C1" s="44"/>
      <c r="D1" s="44"/>
      <c r="E1" s="2"/>
    </row>
    <row r="2" spans="1:5" x14ac:dyDescent="0.3">
      <c r="B2" s="9" t="s">
        <v>1</v>
      </c>
      <c r="C2" s="10" t="s">
        <v>0</v>
      </c>
    </row>
    <row r="3" spans="1:5" ht="15" thickBot="1" x14ac:dyDescent="0.35">
      <c r="B3" s="20">
        <f>SUM(B4,B5,B6,B7,B8,B9,B10,B11,B12,B13,B16,B15,B14)</f>
        <v>2783</v>
      </c>
      <c r="C3" s="12">
        <f>SUM(C4,C5,C6,C7,C8,C9,,C10,C11,C12,C13,C16,C15,C14)</f>
        <v>195</v>
      </c>
    </row>
    <row r="4" spans="1:5" s="5" customFormat="1" x14ac:dyDescent="0.3">
      <c r="A4" s="4" t="s">
        <v>2</v>
      </c>
      <c r="B4" s="18">
        <v>273</v>
      </c>
      <c r="C4" s="5">
        <v>28</v>
      </c>
    </row>
    <row r="5" spans="1:5" x14ac:dyDescent="0.3">
      <c r="A5" s="4" t="s">
        <v>3</v>
      </c>
      <c r="B5" s="30">
        <v>661</v>
      </c>
      <c r="C5" s="30">
        <v>17</v>
      </c>
      <c r="D5" s="5"/>
    </row>
    <row r="6" spans="1:5" x14ac:dyDescent="0.3">
      <c r="A6" s="4" t="s">
        <v>4</v>
      </c>
      <c r="B6" s="19">
        <v>486</v>
      </c>
      <c r="C6" s="6">
        <v>96</v>
      </c>
      <c r="D6" s="5"/>
    </row>
    <row r="7" spans="1:5" x14ac:dyDescent="0.3">
      <c r="A7" s="4" t="s">
        <v>5</v>
      </c>
      <c r="B7" s="32">
        <v>1080</v>
      </c>
      <c r="C7" s="5">
        <v>30</v>
      </c>
      <c r="D7" s="5"/>
    </row>
    <row r="8" spans="1:5" s="15" customFormat="1" x14ac:dyDescent="0.3">
      <c r="A8" s="14" t="s">
        <v>6</v>
      </c>
      <c r="B8" s="6">
        <v>23</v>
      </c>
      <c r="C8" s="6">
        <v>5</v>
      </c>
      <c r="D8" s="5"/>
    </row>
    <row r="9" spans="1:5" x14ac:dyDescent="0.3">
      <c r="A9" s="4" t="s">
        <v>7</v>
      </c>
      <c r="B9" s="5">
        <v>25</v>
      </c>
      <c r="C9" s="5">
        <v>3</v>
      </c>
      <c r="D9" s="5"/>
    </row>
    <row r="10" spans="1:5" x14ac:dyDescent="0.3">
      <c r="A10" s="4" t="s">
        <v>8</v>
      </c>
      <c r="B10" s="5">
        <v>58</v>
      </c>
      <c r="C10" s="5">
        <v>8</v>
      </c>
      <c r="D10" s="5"/>
    </row>
    <row r="11" spans="1:5" x14ac:dyDescent="0.3">
      <c r="A11" s="4" t="s">
        <v>9</v>
      </c>
      <c r="B11" s="5">
        <v>9</v>
      </c>
      <c r="C11" s="5">
        <v>0</v>
      </c>
      <c r="D11" s="5"/>
    </row>
    <row r="12" spans="1:5" x14ac:dyDescent="0.3">
      <c r="A12" s="4" t="s">
        <v>10</v>
      </c>
      <c r="B12" s="5">
        <v>157</v>
      </c>
      <c r="C12" s="5">
        <v>5</v>
      </c>
      <c r="D12" s="5"/>
    </row>
    <row r="13" spans="1:5" x14ac:dyDescent="0.3">
      <c r="A13" s="4" t="s">
        <v>11</v>
      </c>
      <c r="B13" s="5">
        <v>11</v>
      </c>
      <c r="C13" s="5">
        <v>3</v>
      </c>
      <c r="D13" s="5"/>
    </row>
    <row r="14" spans="1:5" x14ac:dyDescent="0.3">
      <c r="A14" s="4" t="s">
        <v>12</v>
      </c>
      <c r="B14" s="8">
        <v>0</v>
      </c>
      <c r="C14" s="7">
        <v>0</v>
      </c>
      <c r="D14" s="5"/>
    </row>
    <row r="15" spans="1:5" x14ac:dyDescent="0.3">
      <c r="A15" s="4" t="s">
        <v>13</v>
      </c>
      <c r="B15" s="5">
        <v>0</v>
      </c>
      <c r="C15" s="5">
        <v>0</v>
      </c>
      <c r="D15" s="5" t="s">
        <v>231</v>
      </c>
    </row>
    <row r="16" spans="1:5" x14ac:dyDescent="0.3">
      <c r="A16" s="4" t="s">
        <v>14</v>
      </c>
      <c r="B16" s="5">
        <v>0</v>
      </c>
      <c r="C16" s="5">
        <v>0</v>
      </c>
      <c r="D16" s="5"/>
    </row>
    <row r="17" spans="1:9" x14ac:dyDescent="0.3">
      <c r="B17" s="3"/>
    </row>
    <row r="20" spans="1:9" x14ac:dyDescent="0.3">
      <c r="A20" s="1" t="s">
        <v>122</v>
      </c>
    </row>
    <row r="21" spans="1:9" s="3" customFormat="1" x14ac:dyDescent="0.3">
      <c r="A21" s="33" t="s">
        <v>480</v>
      </c>
      <c r="B21" s="8"/>
    </row>
    <row r="22" spans="1:9" s="3" customFormat="1" x14ac:dyDescent="0.3">
      <c r="A22" s="34" t="s">
        <v>495</v>
      </c>
      <c r="B22" s="8"/>
    </row>
    <row r="23" spans="1:9" s="3" customFormat="1" x14ac:dyDescent="0.3">
      <c r="A23" s="35" t="s">
        <v>471</v>
      </c>
      <c r="B23" s="8"/>
    </row>
    <row r="24" spans="1:9" s="3" customFormat="1" x14ac:dyDescent="0.3">
      <c r="A24" s="33" t="s">
        <v>497</v>
      </c>
      <c r="B24" s="8"/>
    </row>
    <row r="25" spans="1:9" s="3" customFormat="1" x14ac:dyDescent="0.3">
      <c r="A25" s="36" t="s">
        <v>498</v>
      </c>
      <c r="B25" s="8"/>
    </row>
    <row r="26" spans="1:9" s="3" customFormat="1" x14ac:dyDescent="0.3">
      <c r="A26" s="33" t="s">
        <v>499</v>
      </c>
      <c r="B26" s="8"/>
      <c r="I26" s="3" t="s">
        <v>414</v>
      </c>
    </row>
    <row r="27" spans="1:9" x14ac:dyDescent="0.3">
      <c r="A27" s="33" t="s">
        <v>496</v>
      </c>
    </row>
  </sheetData>
  <mergeCells count="1">
    <mergeCell ref="A1:D1"/>
  </mergeCells>
  <hyperlinks>
    <hyperlink ref="A21" r:id="rId1" display="** NT's official website does not disclose the number of current hospitalizations, but according to the press, between April 1st and April 19th, the NWT reported eight new hospitalizations and one intensive care admission. " xr:uid="{1EDCF313-357E-49F1-B1F2-12CDA90DCB44}"/>
    <hyperlink ref="A22" r:id="rId2" display="**** YT's official website is now informing the number of hospitalizations, which is 2 as of March 7th." xr:uid="{46885959-FF5A-4E95-AAC6-3DF9B45C7524}"/>
    <hyperlink ref="A23" r:id="rId3" xr:uid="{7AC19FC4-82B3-4F08-9971-F0EC0962DCD3}"/>
    <hyperlink ref="A24" r:id="rId4" display="*****NB's latest official report only informs the number of patients admitted for Covid-19, not including the number of patients that were admitted for other reasons and tested positive for Covid-19 later on." xr:uid="{A73DC88E-A21C-491E-9281-79158964E974}"/>
    <hyperlink ref="A26" r:id="rId5" display="*******SK's information was extracted from the latest official report from May 25th, covering the week of May 15th-21st." xr:uid="{B9048290-9FB1-4766-AE60-5FF13B7B51EC}"/>
    <hyperlink ref="A25" r:id="rId6" display="******MB's official website is no longer doing daily reporting. The information was extracted from the latest offical report from May 10th. Note that these are the numbers of new hospitalizations and ICU admissions for the May 1st-7th week. The numbers of" xr:uid="{F085F3AF-8322-48FC-8006-F4BE21396D64}"/>
    <hyperlink ref="A27" r:id="rId7" xr:uid="{E69267AB-AB4A-4358-9635-A4566F391FD9}"/>
  </hyperlinks>
  <pageMargins left="0.7" right="0.7" top="0.75" bottom="0.75" header="0.3" footer="0.3"/>
  <pageSetup orientation="portrait" r:id="rId8"/>
  <drawing r:id="rId9"/>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P24"/>
  <sheetViews>
    <sheetView zoomScale="110" zoomScaleNormal="130" workbookViewId="0">
      <selection activeCell="C17" sqref="C17"/>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249</v>
      </c>
      <c r="B1" s="44"/>
      <c r="C1" s="44"/>
      <c r="D1" s="44"/>
      <c r="E1" s="2"/>
    </row>
    <row r="2" spans="1:5" x14ac:dyDescent="0.3">
      <c r="B2" s="9" t="s">
        <v>1</v>
      </c>
      <c r="C2" s="10" t="s">
        <v>0</v>
      </c>
    </row>
    <row r="3" spans="1:5" ht="15" thickBot="1" x14ac:dyDescent="0.35">
      <c r="B3" s="20">
        <f>SUM(B4,B5,B6,B7,B8,B9,B10,B11,B12,B13,B16,B15,B14)</f>
        <v>2806</v>
      </c>
      <c r="C3" s="12">
        <f>SUM(C4,C5,C6,C7,C8,C9,,C10,C11,C12,C13,C16,C15,C14)</f>
        <v>721</v>
      </c>
    </row>
    <row r="4" spans="1:5" s="5" customFormat="1" x14ac:dyDescent="0.3">
      <c r="A4" s="4" t="s">
        <v>2</v>
      </c>
      <c r="B4" s="5">
        <f>291+C4</f>
        <v>425</v>
      </c>
      <c r="C4" s="5">
        <v>134</v>
      </c>
    </row>
    <row r="5" spans="1:5" x14ac:dyDescent="0.3">
      <c r="A5" s="4" t="s">
        <v>3</v>
      </c>
      <c r="B5" s="30">
        <f>896+C5</f>
        <v>1118</v>
      </c>
      <c r="C5" s="30">
        <v>222</v>
      </c>
      <c r="D5" s="5"/>
    </row>
    <row r="6" spans="1:5" x14ac:dyDescent="0.3">
      <c r="A6" s="4" t="s">
        <v>4</v>
      </c>
      <c r="B6" s="19">
        <f>336+C6</f>
        <v>530</v>
      </c>
      <c r="C6" s="6">
        <v>194</v>
      </c>
      <c r="D6" s="5"/>
    </row>
    <row r="7" spans="1:5" x14ac:dyDescent="0.3">
      <c r="A7" s="4" t="s">
        <v>5</v>
      </c>
      <c r="B7" s="32">
        <f>262+C7</f>
        <v>357</v>
      </c>
      <c r="C7" s="5">
        <v>95</v>
      </c>
      <c r="D7" s="5"/>
    </row>
    <row r="8" spans="1:5" s="15" customFormat="1" x14ac:dyDescent="0.3">
      <c r="A8" s="14" t="s">
        <v>6</v>
      </c>
      <c r="B8" s="6">
        <v>6</v>
      </c>
      <c r="C8" s="6">
        <v>0</v>
      </c>
      <c r="D8" s="5"/>
    </row>
    <row r="9" spans="1:5" x14ac:dyDescent="0.3">
      <c r="A9" s="4" t="s">
        <v>7</v>
      </c>
      <c r="B9" s="5">
        <f>15+C9</f>
        <v>24</v>
      </c>
      <c r="C9" s="5">
        <v>9</v>
      </c>
      <c r="D9" s="5"/>
    </row>
    <row r="10" spans="1:5" x14ac:dyDescent="0.3">
      <c r="A10" s="4" t="s">
        <v>8</v>
      </c>
      <c r="B10" s="5">
        <f>62+C10</f>
        <v>74</v>
      </c>
      <c r="C10" s="5">
        <v>12</v>
      </c>
      <c r="D10" s="5"/>
    </row>
    <row r="11" spans="1:5" x14ac:dyDescent="0.3">
      <c r="A11" s="4" t="s">
        <v>9</v>
      </c>
      <c r="B11" s="5">
        <v>0</v>
      </c>
      <c r="C11" s="5">
        <v>0</v>
      </c>
      <c r="D11" s="5"/>
    </row>
    <row r="12" spans="1:5" x14ac:dyDescent="0.3">
      <c r="A12" s="4" t="s">
        <v>10</v>
      </c>
      <c r="B12" s="5">
        <f>170+C12</f>
        <v>218</v>
      </c>
      <c r="C12" s="5">
        <v>48</v>
      </c>
      <c r="D12" s="5"/>
    </row>
    <row r="13" spans="1:5" x14ac:dyDescent="0.3">
      <c r="A13" s="4" t="s">
        <v>11</v>
      </c>
      <c r="B13" s="5">
        <v>0</v>
      </c>
      <c r="C13" s="5">
        <v>0</v>
      </c>
      <c r="D13" s="5"/>
    </row>
    <row r="14" spans="1:5" x14ac:dyDescent="0.3">
      <c r="A14" s="4" t="s">
        <v>12</v>
      </c>
      <c r="B14" s="8">
        <f>25+C14</f>
        <v>32</v>
      </c>
      <c r="C14" s="7">
        <v>7</v>
      </c>
      <c r="D14" s="5"/>
    </row>
    <row r="15" spans="1:5" x14ac:dyDescent="0.3">
      <c r="A15" s="4" t="s">
        <v>13</v>
      </c>
      <c r="B15" s="5">
        <v>22</v>
      </c>
      <c r="C15" s="5">
        <v>0</v>
      </c>
      <c r="D15" s="5" t="s">
        <v>231</v>
      </c>
    </row>
    <row r="16" spans="1:5" x14ac:dyDescent="0.3">
      <c r="A16" s="4" t="s">
        <v>14</v>
      </c>
      <c r="B16" s="5">
        <v>0</v>
      </c>
      <c r="C16" s="5">
        <v>0</v>
      </c>
      <c r="D16" s="5"/>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P24"/>
  <sheetViews>
    <sheetView zoomScale="110" zoomScaleNormal="130" workbookViewId="0">
      <selection activeCell="C16" sqref="C16"/>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248</v>
      </c>
      <c r="B1" s="44"/>
      <c r="C1" s="44"/>
      <c r="D1" s="44"/>
      <c r="E1" s="2"/>
    </row>
    <row r="2" spans="1:5" x14ac:dyDescent="0.3">
      <c r="B2" s="9" t="s">
        <v>1</v>
      </c>
      <c r="C2" s="10" t="s">
        <v>0</v>
      </c>
    </row>
    <row r="3" spans="1:5" ht="15" thickBot="1" x14ac:dyDescent="0.35">
      <c r="B3" s="20">
        <f>SUM(B4,B5,B6,B7,B8,B9,B10,B11,B12,B13,B16,B15,B14)</f>
        <v>2713</v>
      </c>
      <c r="C3" s="12">
        <f>SUM(C4,C5,C6,C7,C8,C9,,C10,C11,C12,C13,C16,C15,C14)</f>
        <v>693</v>
      </c>
    </row>
    <row r="4" spans="1:5" s="5" customFormat="1" x14ac:dyDescent="0.3">
      <c r="A4" s="4" t="s">
        <v>2</v>
      </c>
      <c r="B4" s="5">
        <f>288+C4</f>
        <v>428</v>
      </c>
      <c r="C4" s="5">
        <v>140</v>
      </c>
    </row>
    <row r="5" spans="1:5" x14ac:dyDescent="0.3">
      <c r="A5" s="4" t="s">
        <v>3</v>
      </c>
      <c r="B5" s="30">
        <f>822+C5</f>
        <v>1034</v>
      </c>
      <c r="C5" s="30">
        <v>212</v>
      </c>
      <c r="D5" s="5"/>
    </row>
    <row r="6" spans="1:5" x14ac:dyDescent="0.3">
      <c r="A6" s="4" t="s">
        <v>4</v>
      </c>
      <c r="B6" s="19">
        <f>346+C6</f>
        <v>534</v>
      </c>
      <c r="C6" s="6">
        <v>188</v>
      </c>
      <c r="D6" s="5"/>
    </row>
    <row r="7" spans="1:5" x14ac:dyDescent="0.3">
      <c r="A7" s="4" t="s">
        <v>5</v>
      </c>
      <c r="B7" s="32">
        <f>250+C7</f>
        <v>335</v>
      </c>
      <c r="C7" s="5">
        <v>85</v>
      </c>
      <c r="D7" s="5"/>
    </row>
    <row r="8" spans="1:5" s="15" customFormat="1" x14ac:dyDescent="0.3">
      <c r="A8" s="14" t="s">
        <v>6</v>
      </c>
      <c r="B8" s="6">
        <v>4</v>
      </c>
      <c r="C8" s="6">
        <v>0</v>
      </c>
      <c r="D8" s="5"/>
    </row>
    <row r="9" spans="1:5" x14ac:dyDescent="0.3">
      <c r="A9" s="4" t="s">
        <v>7</v>
      </c>
      <c r="B9" s="5">
        <f>12+C9</f>
        <v>19</v>
      </c>
      <c r="C9" s="5">
        <v>7</v>
      </c>
      <c r="D9" s="5"/>
    </row>
    <row r="10" spans="1:5" x14ac:dyDescent="0.3">
      <c r="A10" s="4" t="s">
        <v>8</v>
      </c>
      <c r="B10" s="5">
        <f>69+C10</f>
        <v>83</v>
      </c>
      <c r="C10" s="5">
        <v>14</v>
      </c>
      <c r="D10" s="5"/>
    </row>
    <row r="11" spans="1:5" x14ac:dyDescent="0.3">
      <c r="A11" s="4" t="s">
        <v>9</v>
      </c>
      <c r="B11" s="5">
        <v>0</v>
      </c>
      <c r="C11" s="5">
        <v>0</v>
      </c>
      <c r="D11" s="5"/>
    </row>
    <row r="12" spans="1:5" x14ac:dyDescent="0.3">
      <c r="A12" s="4" t="s">
        <v>10</v>
      </c>
      <c r="B12" s="5">
        <f>184+C12</f>
        <v>224</v>
      </c>
      <c r="C12" s="5">
        <v>40</v>
      </c>
      <c r="D12" s="5"/>
    </row>
    <row r="13" spans="1:5" x14ac:dyDescent="0.3">
      <c r="A13" s="4" t="s">
        <v>11</v>
      </c>
      <c r="B13" s="5">
        <v>1</v>
      </c>
      <c r="C13" s="5">
        <v>0</v>
      </c>
      <c r="D13" s="5"/>
    </row>
    <row r="14" spans="1:5" x14ac:dyDescent="0.3">
      <c r="A14" s="4" t="s">
        <v>12</v>
      </c>
      <c r="B14" s="8">
        <f>21+C14</f>
        <v>28</v>
      </c>
      <c r="C14" s="7">
        <v>7</v>
      </c>
      <c r="D14" s="5"/>
    </row>
    <row r="15" spans="1:5" x14ac:dyDescent="0.3">
      <c r="A15" s="4" t="s">
        <v>13</v>
      </c>
      <c r="B15" s="5">
        <v>23</v>
      </c>
      <c r="C15" s="5">
        <v>0</v>
      </c>
      <c r="D15" s="5" t="s">
        <v>231</v>
      </c>
    </row>
    <row r="16" spans="1:5" x14ac:dyDescent="0.3">
      <c r="A16" s="4" t="s">
        <v>14</v>
      </c>
      <c r="B16" s="5">
        <v>0</v>
      </c>
      <c r="C16" s="5">
        <v>0</v>
      </c>
      <c r="D16" s="5"/>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P24"/>
  <sheetViews>
    <sheetView zoomScale="110" zoomScaleNormal="130" workbookViewId="0">
      <selection activeCell="C16" sqref="C16"/>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247</v>
      </c>
      <c r="B1" s="44"/>
      <c r="C1" s="44"/>
      <c r="D1" s="44"/>
      <c r="E1" s="2"/>
    </row>
    <row r="2" spans="1:5" x14ac:dyDescent="0.3">
      <c r="B2" s="9" t="s">
        <v>1</v>
      </c>
      <c r="C2" s="10" t="s">
        <v>0</v>
      </c>
    </row>
    <row r="3" spans="1:5" ht="15" thickBot="1" x14ac:dyDescent="0.35">
      <c r="B3" s="20">
        <f>SUM(B4,B5,B6,B7,B8,B9,B10,B11,B12,B13,B16,B15,B14)</f>
        <v>2397</v>
      </c>
      <c r="C3" s="12">
        <f>SUM(C4,C5,C6,C7,C8,C9,,C10,C11,C12,C13,C16,C15,C14)</f>
        <v>638</v>
      </c>
    </row>
    <row r="4" spans="1:5" s="5" customFormat="1" x14ac:dyDescent="0.3">
      <c r="A4" s="4" t="s">
        <v>2</v>
      </c>
      <c r="B4" s="5">
        <f>281+C4</f>
        <v>416</v>
      </c>
      <c r="C4" s="5">
        <v>135</v>
      </c>
    </row>
    <row r="5" spans="1:5" x14ac:dyDescent="0.3">
      <c r="A5" s="4" t="s">
        <v>3</v>
      </c>
      <c r="B5" s="30">
        <f>686+C5</f>
        <v>855</v>
      </c>
      <c r="C5" s="30">
        <v>169</v>
      </c>
      <c r="D5" s="5"/>
    </row>
    <row r="6" spans="1:5" x14ac:dyDescent="0.3">
      <c r="A6" s="4" t="s">
        <v>4</v>
      </c>
      <c r="B6" s="19">
        <f>289+C6</f>
        <v>478</v>
      </c>
      <c r="C6" s="6">
        <v>189</v>
      </c>
      <c r="D6" s="5"/>
    </row>
    <row r="7" spans="1:5" x14ac:dyDescent="0.3">
      <c r="A7" s="4" t="s">
        <v>5</v>
      </c>
      <c r="B7" s="32">
        <f>227+C7</f>
        <v>302</v>
      </c>
      <c r="C7" s="5">
        <v>75</v>
      </c>
      <c r="D7" s="5"/>
    </row>
    <row r="8" spans="1:5" s="15" customFormat="1" x14ac:dyDescent="0.3">
      <c r="A8" s="14" t="s">
        <v>6</v>
      </c>
      <c r="B8" s="6">
        <v>1</v>
      </c>
      <c r="C8" s="6">
        <v>0</v>
      </c>
      <c r="D8" s="5"/>
    </row>
    <row r="9" spans="1:5" x14ac:dyDescent="0.3">
      <c r="A9" s="4" t="s">
        <v>7</v>
      </c>
      <c r="B9" s="5">
        <f>6+C9</f>
        <v>9</v>
      </c>
      <c r="C9" s="5">
        <v>3</v>
      </c>
      <c r="D9" s="5"/>
    </row>
    <row r="10" spans="1:5" x14ac:dyDescent="0.3">
      <c r="A10" s="4" t="s">
        <v>8</v>
      </c>
      <c r="B10" s="5">
        <f>77+C10</f>
        <v>93</v>
      </c>
      <c r="C10" s="5">
        <v>16</v>
      </c>
      <c r="D10" s="5"/>
    </row>
    <row r="11" spans="1:5" x14ac:dyDescent="0.3">
      <c r="A11" s="4" t="s">
        <v>9</v>
      </c>
      <c r="B11" s="5">
        <v>0</v>
      </c>
      <c r="C11" s="5">
        <v>0</v>
      </c>
      <c r="D11" s="5"/>
    </row>
    <row r="12" spans="1:5" x14ac:dyDescent="0.3">
      <c r="A12" s="4" t="s">
        <v>10</v>
      </c>
      <c r="B12" s="5">
        <f>153+C12</f>
        <v>198</v>
      </c>
      <c r="C12" s="5">
        <v>45</v>
      </c>
      <c r="D12" s="5"/>
    </row>
    <row r="13" spans="1:5" x14ac:dyDescent="0.3">
      <c r="A13" s="4" t="s">
        <v>11</v>
      </c>
      <c r="B13" s="5">
        <v>1</v>
      </c>
      <c r="C13" s="5">
        <v>0</v>
      </c>
      <c r="D13" s="5"/>
    </row>
    <row r="14" spans="1:5" x14ac:dyDescent="0.3">
      <c r="A14" s="4" t="s">
        <v>12</v>
      </c>
      <c r="B14" s="8">
        <f>18+C14</f>
        <v>24</v>
      </c>
      <c r="C14" s="7">
        <v>6</v>
      </c>
      <c r="D14" s="5"/>
    </row>
    <row r="15" spans="1:5" x14ac:dyDescent="0.3">
      <c r="A15" s="4" t="s">
        <v>13</v>
      </c>
      <c r="B15" s="5">
        <v>20</v>
      </c>
      <c r="C15" s="5">
        <v>0</v>
      </c>
      <c r="D15" s="5" t="s">
        <v>231</v>
      </c>
    </row>
    <row r="16" spans="1:5" x14ac:dyDescent="0.3">
      <c r="A16" s="4" t="s">
        <v>14</v>
      </c>
      <c r="B16" s="5">
        <v>0</v>
      </c>
      <c r="C16" s="5">
        <v>0</v>
      </c>
      <c r="D16" s="5"/>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P24"/>
  <sheetViews>
    <sheetView zoomScale="110" zoomScaleNormal="130" workbookViewId="0">
      <selection activeCell="D16" sqref="D16"/>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246</v>
      </c>
      <c r="B1" s="44"/>
      <c r="C1" s="44"/>
      <c r="D1" s="44"/>
      <c r="E1" s="2"/>
    </row>
    <row r="2" spans="1:5" x14ac:dyDescent="0.3">
      <c r="B2" s="9" t="s">
        <v>1</v>
      </c>
      <c r="C2" s="10" t="s">
        <v>0</v>
      </c>
    </row>
    <row r="3" spans="1:5" ht="15" thickBot="1" x14ac:dyDescent="0.35">
      <c r="B3" s="20">
        <f>SUM(B4,B5,B6,B7,B8,B9,B10,B11,B12,B13,B16,B15,B14)</f>
        <v>2368</v>
      </c>
      <c r="C3" s="12">
        <f>SUM(C4,C5,C6,C7,C8,C9,,C10,C11,C12,C13,C16,C15,C14)</f>
        <v>590</v>
      </c>
    </row>
    <row r="4" spans="1:5" s="5" customFormat="1" x14ac:dyDescent="0.3">
      <c r="A4" s="4" t="s">
        <v>2</v>
      </c>
      <c r="B4" s="5">
        <f>262+C4</f>
        <v>392</v>
      </c>
      <c r="C4" s="5">
        <v>130</v>
      </c>
    </row>
    <row r="5" spans="1:5" x14ac:dyDescent="0.3">
      <c r="A5" s="4" t="s">
        <v>3</v>
      </c>
      <c r="B5" s="30">
        <f>679+C5</f>
        <v>833</v>
      </c>
      <c r="C5" s="30">
        <v>154</v>
      </c>
      <c r="D5" s="5"/>
    </row>
    <row r="6" spans="1:5" x14ac:dyDescent="0.3">
      <c r="A6" s="4" t="s">
        <v>4</v>
      </c>
      <c r="B6" s="19">
        <f>361+C6</f>
        <v>538</v>
      </c>
      <c r="C6" s="6">
        <v>177</v>
      </c>
      <c r="D6" s="5"/>
    </row>
    <row r="7" spans="1:5" x14ac:dyDescent="0.3">
      <c r="A7" s="4" t="s">
        <v>5</v>
      </c>
      <c r="B7" s="32">
        <f>207+C7</f>
        <v>279</v>
      </c>
      <c r="C7" s="5">
        <v>72</v>
      </c>
      <c r="D7" s="5"/>
    </row>
    <row r="8" spans="1:5" s="15" customFormat="1" x14ac:dyDescent="0.3">
      <c r="A8" s="14" t="s">
        <v>6</v>
      </c>
      <c r="B8" s="6">
        <v>1</v>
      </c>
      <c r="C8" s="6">
        <v>0</v>
      </c>
      <c r="D8" s="5"/>
    </row>
    <row r="9" spans="1:5" x14ac:dyDescent="0.3">
      <c r="A9" s="4" t="s">
        <v>7</v>
      </c>
      <c r="B9" s="5">
        <f>6+C9</f>
        <v>9</v>
      </c>
      <c r="C9" s="5">
        <v>3</v>
      </c>
      <c r="D9" s="5"/>
    </row>
    <row r="10" spans="1:5" x14ac:dyDescent="0.3">
      <c r="A10" s="4" t="s">
        <v>8</v>
      </c>
      <c r="B10" s="5">
        <f>77+C10</f>
        <v>93</v>
      </c>
      <c r="C10" s="5">
        <v>16</v>
      </c>
      <c r="D10" s="5"/>
    </row>
    <row r="11" spans="1:5" x14ac:dyDescent="0.3">
      <c r="A11" s="4" t="s">
        <v>9</v>
      </c>
      <c r="B11" s="5">
        <v>0</v>
      </c>
      <c r="C11" s="5">
        <v>0</v>
      </c>
      <c r="D11" s="5"/>
    </row>
    <row r="12" spans="1:5" x14ac:dyDescent="0.3">
      <c r="A12" s="4" t="s">
        <v>10</v>
      </c>
      <c r="B12" s="5">
        <f>152+C12</f>
        <v>184</v>
      </c>
      <c r="C12" s="5">
        <v>32</v>
      </c>
      <c r="D12" s="5"/>
    </row>
    <row r="13" spans="1:5" x14ac:dyDescent="0.3">
      <c r="A13" s="4" t="s">
        <v>11</v>
      </c>
      <c r="B13" s="5">
        <v>1</v>
      </c>
      <c r="C13" s="5">
        <v>0</v>
      </c>
      <c r="D13" s="5"/>
    </row>
    <row r="14" spans="1:5" x14ac:dyDescent="0.3">
      <c r="A14" s="4" t="s">
        <v>12</v>
      </c>
      <c r="B14" s="8">
        <f>17+C14</f>
        <v>23</v>
      </c>
      <c r="C14" s="7">
        <v>6</v>
      </c>
      <c r="D14" s="5"/>
    </row>
    <row r="15" spans="1:5" x14ac:dyDescent="0.3">
      <c r="A15" s="4" t="s">
        <v>13</v>
      </c>
      <c r="B15" s="5">
        <v>15</v>
      </c>
      <c r="C15" s="5">
        <v>0</v>
      </c>
      <c r="D15" s="5" t="s">
        <v>231</v>
      </c>
    </row>
    <row r="16" spans="1:5" x14ac:dyDescent="0.3">
      <c r="A16" s="4" t="s">
        <v>14</v>
      </c>
      <c r="B16" s="5">
        <v>0</v>
      </c>
      <c r="C16" s="5">
        <v>0</v>
      </c>
      <c r="D16" s="5"/>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P24"/>
  <sheetViews>
    <sheetView zoomScale="110" zoomScaleNormal="130" workbookViewId="0">
      <selection activeCell="C16" sqref="C16"/>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245</v>
      </c>
      <c r="B1" s="44"/>
      <c r="C1" s="44"/>
      <c r="D1" s="44"/>
      <c r="E1" s="2"/>
    </row>
    <row r="2" spans="1:5" x14ac:dyDescent="0.3">
      <c r="B2" s="9" t="s">
        <v>1</v>
      </c>
      <c r="C2" s="10" t="s">
        <v>0</v>
      </c>
    </row>
    <row r="3" spans="1:5" ht="15" thickBot="1" x14ac:dyDescent="0.35">
      <c r="B3" s="20">
        <f>SUM(B4,B5,B6,B7,B8,B9,B10,B11,B12,B13,B16,B15,B14)</f>
        <v>1868</v>
      </c>
      <c r="C3" s="12">
        <f>SUM(C4,C5,C6,C7,C8,C9,,C10,C11,C12,C13,C16,C15,C14)</f>
        <v>492</v>
      </c>
    </row>
    <row r="4" spans="1:5" s="5" customFormat="1" x14ac:dyDescent="0.3">
      <c r="A4" s="4" t="s">
        <v>2</v>
      </c>
      <c r="B4" s="5">
        <f>199+C4</f>
        <v>315</v>
      </c>
      <c r="C4" s="5">
        <v>116</v>
      </c>
    </row>
    <row r="5" spans="1:5" x14ac:dyDescent="0.3">
      <c r="A5" s="4" t="s">
        <v>3</v>
      </c>
      <c r="B5" s="30">
        <f>487+C5</f>
        <v>601</v>
      </c>
      <c r="C5" s="30">
        <v>114</v>
      </c>
      <c r="D5" s="5"/>
    </row>
    <row r="6" spans="1:5" x14ac:dyDescent="0.3">
      <c r="A6" s="4" t="s">
        <v>4</v>
      </c>
      <c r="B6" s="19">
        <f>326+C6</f>
        <v>495</v>
      </c>
      <c r="C6" s="6">
        <v>169</v>
      </c>
      <c r="D6" s="5"/>
    </row>
    <row r="7" spans="1:5" x14ac:dyDescent="0.3">
      <c r="A7" s="4" t="s">
        <v>5</v>
      </c>
      <c r="B7" s="32">
        <f>147+C7</f>
        <v>196</v>
      </c>
      <c r="C7" s="5">
        <v>49</v>
      </c>
      <c r="D7" s="5"/>
    </row>
    <row r="8" spans="1:5" s="15" customFormat="1" x14ac:dyDescent="0.3">
      <c r="A8" s="14" t="s">
        <v>6</v>
      </c>
      <c r="B8" s="6">
        <v>0</v>
      </c>
      <c r="C8" s="6">
        <v>0</v>
      </c>
      <c r="D8" s="5"/>
    </row>
    <row r="9" spans="1:5" x14ac:dyDescent="0.3">
      <c r="A9" s="4" t="s">
        <v>7</v>
      </c>
      <c r="B9" s="5">
        <f>3+C9</f>
        <v>5</v>
      </c>
      <c r="C9" s="5">
        <v>2</v>
      </c>
      <c r="D9" s="5"/>
    </row>
    <row r="10" spans="1:5" x14ac:dyDescent="0.3">
      <c r="A10" s="4" t="s">
        <v>8</v>
      </c>
      <c r="B10" s="5">
        <f>70+C10</f>
        <v>85</v>
      </c>
      <c r="C10" s="5">
        <v>15</v>
      </c>
      <c r="D10" s="5"/>
    </row>
    <row r="11" spans="1:5" x14ac:dyDescent="0.3">
      <c r="A11" s="4" t="s">
        <v>9</v>
      </c>
      <c r="B11" s="5">
        <v>0</v>
      </c>
      <c r="C11" s="5">
        <v>0</v>
      </c>
      <c r="D11" s="5"/>
    </row>
    <row r="12" spans="1:5" x14ac:dyDescent="0.3">
      <c r="A12" s="4" t="s">
        <v>10</v>
      </c>
      <c r="B12" s="5">
        <f>111+C12</f>
        <v>134</v>
      </c>
      <c r="C12" s="5">
        <v>23</v>
      </c>
      <c r="D12" s="5"/>
    </row>
    <row r="13" spans="1:5" x14ac:dyDescent="0.3">
      <c r="A13" s="4" t="s">
        <v>11</v>
      </c>
      <c r="B13" s="5">
        <v>0</v>
      </c>
      <c r="C13" s="5">
        <v>0</v>
      </c>
      <c r="D13" s="5"/>
    </row>
    <row r="14" spans="1:5" x14ac:dyDescent="0.3">
      <c r="A14" s="4" t="s">
        <v>12</v>
      </c>
      <c r="B14" s="8">
        <f>10+C14</f>
        <v>14</v>
      </c>
      <c r="C14" s="7">
        <v>4</v>
      </c>
      <c r="D14" s="5"/>
    </row>
    <row r="15" spans="1:5" x14ac:dyDescent="0.3">
      <c r="A15" s="4" t="s">
        <v>13</v>
      </c>
      <c r="B15" s="5">
        <v>23</v>
      </c>
      <c r="C15" s="5">
        <v>0</v>
      </c>
      <c r="D15" s="5" t="s">
        <v>231</v>
      </c>
    </row>
    <row r="16" spans="1:5" x14ac:dyDescent="0.3">
      <c r="A16" s="4" t="s">
        <v>14</v>
      </c>
      <c r="B16" s="5">
        <v>0</v>
      </c>
      <c r="C16" s="5">
        <v>0</v>
      </c>
      <c r="D16" s="5"/>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P24"/>
  <sheetViews>
    <sheetView zoomScale="110" zoomScaleNormal="130" workbookViewId="0">
      <selection activeCell="D17" sqref="D17"/>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244</v>
      </c>
      <c r="B1" s="44"/>
      <c r="C1" s="44"/>
      <c r="D1" s="44"/>
      <c r="E1" s="2"/>
    </row>
    <row r="2" spans="1:5" x14ac:dyDescent="0.3">
      <c r="B2" s="9" t="s">
        <v>1</v>
      </c>
      <c r="C2" s="10" t="s">
        <v>0</v>
      </c>
    </row>
    <row r="3" spans="1:5" ht="15" thickBot="1" x14ac:dyDescent="0.35">
      <c r="B3" s="20">
        <f>SUM(B4,B5,B6,B7,B8,B9,B10,B11,B12,B13,B16,B15,B14)</f>
        <v>1439</v>
      </c>
      <c r="C3" s="12">
        <f>SUM(C4,C5,C6,C7,C8,C9,,C10,C11,C12,C13,C16,C15,C14)</f>
        <v>405</v>
      </c>
    </row>
    <row r="4" spans="1:5" s="5" customFormat="1" x14ac:dyDescent="0.3">
      <c r="A4" s="4" t="s">
        <v>2</v>
      </c>
      <c r="B4" s="5">
        <f>159+84</f>
        <v>243</v>
      </c>
      <c r="C4" s="5">
        <v>84</v>
      </c>
    </row>
    <row r="5" spans="1:5" x14ac:dyDescent="0.3">
      <c r="A5" s="4" t="s">
        <v>3</v>
      </c>
      <c r="B5" s="30">
        <f>336+74</f>
        <v>410</v>
      </c>
      <c r="C5" s="30">
        <v>74</v>
      </c>
      <c r="D5" s="5"/>
    </row>
    <row r="6" spans="1:5" x14ac:dyDescent="0.3">
      <c r="A6" s="4" t="s">
        <v>4</v>
      </c>
      <c r="B6" s="19">
        <f>226+160</f>
        <v>386</v>
      </c>
      <c r="C6" s="6">
        <v>160</v>
      </c>
      <c r="D6" s="5"/>
    </row>
    <row r="7" spans="1:5" x14ac:dyDescent="0.3">
      <c r="A7" s="4" t="s">
        <v>5</v>
      </c>
      <c r="B7" s="32">
        <f>125+37</f>
        <v>162</v>
      </c>
      <c r="C7" s="5">
        <v>37</v>
      </c>
      <c r="D7" s="5"/>
    </row>
    <row r="8" spans="1:5" s="15" customFormat="1" x14ac:dyDescent="0.3">
      <c r="A8" s="14" t="s">
        <v>6</v>
      </c>
      <c r="B8" s="6">
        <v>0</v>
      </c>
      <c r="C8" s="6">
        <v>0</v>
      </c>
      <c r="D8" s="5"/>
    </row>
    <row r="9" spans="1:5" x14ac:dyDescent="0.3">
      <c r="A9" s="4" t="s">
        <v>7</v>
      </c>
      <c r="B9" s="5">
        <f>3+1</f>
        <v>4</v>
      </c>
      <c r="C9" s="5">
        <v>1</v>
      </c>
      <c r="D9" s="5"/>
    </row>
    <row r="10" spans="1:5" x14ac:dyDescent="0.3">
      <c r="A10" s="4" t="s">
        <v>8</v>
      </c>
      <c r="B10" s="5">
        <f>65+18</f>
        <v>83</v>
      </c>
      <c r="C10" s="5">
        <v>18</v>
      </c>
      <c r="D10" s="5"/>
    </row>
    <row r="11" spans="1:5" x14ac:dyDescent="0.3">
      <c r="A11" s="4" t="s">
        <v>9</v>
      </c>
      <c r="B11" s="5">
        <v>0</v>
      </c>
      <c r="C11" s="5">
        <v>0</v>
      </c>
      <c r="D11" s="5"/>
    </row>
    <row r="12" spans="1:5" x14ac:dyDescent="0.3">
      <c r="A12" s="4" t="s">
        <v>10</v>
      </c>
      <c r="B12" s="5">
        <v>111</v>
      </c>
      <c r="C12" s="5">
        <v>27</v>
      </c>
      <c r="D12" s="5"/>
    </row>
    <row r="13" spans="1:5" x14ac:dyDescent="0.3">
      <c r="A13" s="4" t="s">
        <v>11</v>
      </c>
      <c r="B13" s="5">
        <v>0</v>
      </c>
      <c r="C13" s="5">
        <v>0</v>
      </c>
      <c r="D13" s="5"/>
    </row>
    <row r="14" spans="1:5" x14ac:dyDescent="0.3">
      <c r="A14" s="4" t="s">
        <v>12</v>
      </c>
      <c r="B14" s="8">
        <f>9+4</f>
        <v>13</v>
      </c>
      <c r="C14" s="7">
        <v>4</v>
      </c>
      <c r="D14" s="5"/>
    </row>
    <row r="15" spans="1:5" x14ac:dyDescent="0.3">
      <c r="A15" s="4" t="s">
        <v>13</v>
      </c>
      <c r="B15" s="5">
        <v>27</v>
      </c>
      <c r="C15" s="5">
        <v>0</v>
      </c>
      <c r="D15" s="5" t="s">
        <v>231</v>
      </c>
    </row>
    <row r="16" spans="1:5" x14ac:dyDescent="0.3">
      <c r="A16" s="4" t="s">
        <v>14</v>
      </c>
      <c r="B16" s="5">
        <v>0</v>
      </c>
      <c r="C16" s="5">
        <v>0</v>
      </c>
      <c r="D16" s="5"/>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P24"/>
  <sheetViews>
    <sheetView zoomScale="110" zoomScaleNormal="130" workbookViewId="0">
      <selection activeCell="D17" sqref="D17"/>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243</v>
      </c>
      <c r="B1" s="44"/>
      <c r="C1" s="44"/>
      <c r="D1" s="44"/>
      <c r="E1" s="2"/>
    </row>
    <row r="2" spans="1:5" x14ac:dyDescent="0.3">
      <c r="B2" s="9" t="s">
        <v>1</v>
      </c>
      <c r="C2" s="10" t="s">
        <v>0</v>
      </c>
    </row>
    <row r="3" spans="1:5" ht="15" thickBot="1" x14ac:dyDescent="0.35">
      <c r="B3" s="20">
        <f>SUM(B4,B5,B6,B7,B8,B9,B10,B11,B12,B13,B16,B15,B14)</f>
        <v>1467</v>
      </c>
      <c r="C3" s="12">
        <f>SUM(C4,C5,C6,C7,C8,C9,,C10,C11,C12,C13,C16,C15,C14)</f>
        <v>385</v>
      </c>
    </row>
    <row r="4" spans="1:5" s="5" customFormat="1" x14ac:dyDescent="0.3">
      <c r="A4" s="4" t="s">
        <v>2</v>
      </c>
      <c r="B4" s="5">
        <f>149+83</f>
        <v>232</v>
      </c>
      <c r="C4" s="5">
        <v>83</v>
      </c>
    </row>
    <row r="5" spans="1:5" x14ac:dyDescent="0.3">
      <c r="A5" s="4" t="s">
        <v>3</v>
      </c>
      <c r="B5" s="30">
        <f>308+64</f>
        <v>372</v>
      </c>
      <c r="C5" s="30">
        <v>64</v>
      </c>
      <c r="D5" s="5"/>
    </row>
    <row r="6" spans="1:5" x14ac:dyDescent="0.3">
      <c r="A6" s="4" t="s">
        <v>4</v>
      </c>
      <c r="B6" s="19">
        <f>306+158</f>
        <v>464</v>
      </c>
      <c r="C6" s="6">
        <v>158</v>
      </c>
      <c r="D6" s="5"/>
    </row>
    <row r="7" spans="1:5" x14ac:dyDescent="0.3">
      <c r="A7" s="4" t="s">
        <v>5</v>
      </c>
      <c r="B7" s="32">
        <f>126+36</f>
        <v>162</v>
      </c>
      <c r="C7" s="5">
        <v>36</v>
      </c>
      <c r="D7" s="5"/>
    </row>
    <row r="8" spans="1:5" s="15" customFormat="1" x14ac:dyDescent="0.3">
      <c r="A8" s="14" t="s">
        <v>6</v>
      </c>
      <c r="B8" s="6">
        <v>0</v>
      </c>
      <c r="C8" s="6">
        <v>0</v>
      </c>
      <c r="D8" s="5"/>
    </row>
    <row r="9" spans="1:5" x14ac:dyDescent="0.3">
      <c r="A9" s="4" t="s">
        <v>7</v>
      </c>
      <c r="B9" s="5">
        <v>3</v>
      </c>
      <c r="C9" s="5">
        <v>0</v>
      </c>
      <c r="D9" s="5"/>
    </row>
    <row r="10" spans="1:5" x14ac:dyDescent="0.3">
      <c r="A10" s="4" t="s">
        <v>8</v>
      </c>
      <c r="B10" s="5">
        <f>65+21</f>
        <v>86</v>
      </c>
      <c r="C10" s="5">
        <v>21</v>
      </c>
      <c r="D10" s="5"/>
    </row>
    <row r="11" spans="1:5" x14ac:dyDescent="0.3">
      <c r="A11" s="4" t="s">
        <v>9</v>
      </c>
      <c r="B11" s="5">
        <v>1</v>
      </c>
      <c r="C11" s="5">
        <v>0</v>
      </c>
      <c r="D11" s="5"/>
    </row>
    <row r="12" spans="1:5" x14ac:dyDescent="0.3">
      <c r="A12" s="4" t="s">
        <v>10</v>
      </c>
      <c r="B12" s="5">
        <v>104</v>
      </c>
      <c r="C12" s="5">
        <v>19</v>
      </c>
      <c r="D12" s="5"/>
    </row>
    <row r="13" spans="1:5" x14ac:dyDescent="0.3">
      <c r="A13" s="4" t="s">
        <v>11</v>
      </c>
      <c r="B13" s="5">
        <v>0</v>
      </c>
      <c r="C13" s="5">
        <v>0</v>
      </c>
      <c r="D13" s="5"/>
    </row>
    <row r="14" spans="1:5" x14ac:dyDescent="0.3">
      <c r="A14" s="4" t="s">
        <v>12</v>
      </c>
      <c r="B14" s="8">
        <f>8+4</f>
        <v>12</v>
      </c>
      <c r="C14" s="7">
        <v>4</v>
      </c>
      <c r="D14" s="5"/>
    </row>
    <row r="15" spans="1:5" x14ac:dyDescent="0.3">
      <c r="A15" s="4" t="s">
        <v>13</v>
      </c>
      <c r="B15" s="5">
        <v>31</v>
      </c>
      <c r="C15" s="5">
        <v>0</v>
      </c>
      <c r="D15" s="5" t="s">
        <v>231</v>
      </c>
    </row>
    <row r="16" spans="1:5" x14ac:dyDescent="0.3">
      <c r="A16" s="4" t="s">
        <v>14</v>
      </c>
      <c r="B16" s="5">
        <v>0</v>
      </c>
      <c r="C16" s="5">
        <v>0</v>
      </c>
      <c r="D16" s="5"/>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P24"/>
  <sheetViews>
    <sheetView zoomScale="110" zoomScaleNormal="130" workbookViewId="0">
      <selection activeCell="B16" sqref="B16"/>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242</v>
      </c>
      <c r="B1" s="44"/>
      <c r="C1" s="44"/>
      <c r="D1" s="44"/>
      <c r="E1" s="2"/>
    </row>
    <row r="2" spans="1:5" x14ac:dyDescent="0.3">
      <c r="B2" s="9" t="s">
        <v>1</v>
      </c>
      <c r="C2" s="10" t="s">
        <v>0</v>
      </c>
    </row>
    <row r="3" spans="1:5" ht="15" thickBot="1" x14ac:dyDescent="0.35">
      <c r="B3" s="20">
        <f>SUM(B4,B5,B6,B7,B8,B9,B10,B11,B12,B13,B16,B15,B14)</f>
        <v>1357</v>
      </c>
      <c r="C3" s="12">
        <f>SUM(C4,C5,C6,C7,C8,C9,,C10,C11,C12,C13,C16,C15,C14)</f>
        <v>369</v>
      </c>
    </row>
    <row r="4" spans="1:5" s="5" customFormat="1" x14ac:dyDescent="0.3">
      <c r="A4" s="4" t="s">
        <v>2</v>
      </c>
      <c r="B4" s="5">
        <f>138+78</f>
        <v>216</v>
      </c>
      <c r="C4" s="5">
        <v>78</v>
      </c>
    </row>
    <row r="5" spans="1:5" x14ac:dyDescent="0.3">
      <c r="A5" s="4" t="s">
        <v>3</v>
      </c>
      <c r="B5" s="30">
        <f>258+57</f>
        <v>315</v>
      </c>
      <c r="C5" s="30">
        <v>57</v>
      </c>
      <c r="D5" s="5"/>
    </row>
    <row r="6" spans="1:5" x14ac:dyDescent="0.3">
      <c r="A6" s="4" t="s">
        <v>4</v>
      </c>
      <c r="B6" s="19">
        <f>283+161</f>
        <v>444</v>
      </c>
      <c r="C6" s="6">
        <v>161</v>
      </c>
      <c r="D6" s="5"/>
    </row>
    <row r="7" spans="1:5" x14ac:dyDescent="0.3">
      <c r="A7" s="4" t="s">
        <v>5</v>
      </c>
      <c r="B7" s="32">
        <f>110+33</f>
        <v>143</v>
      </c>
      <c r="C7" s="5">
        <v>33</v>
      </c>
      <c r="D7" s="5"/>
    </row>
    <row r="8" spans="1:5" s="15" customFormat="1" x14ac:dyDescent="0.3">
      <c r="A8" s="14" t="s">
        <v>6</v>
      </c>
      <c r="B8" s="6">
        <v>0</v>
      </c>
      <c r="C8" s="6">
        <v>0</v>
      </c>
      <c r="D8" s="5"/>
    </row>
    <row r="9" spans="1:5" x14ac:dyDescent="0.3">
      <c r="A9" s="4" t="s">
        <v>7</v>
      </c>
      <c r="B9" s="5">
        <v>3</v>
      </c>
      <c r="C9" s="5">
        <v>0</v>
      </c>
      <c r="D9" s="5"/>
    </row>
    <row r="10" spans="1:5" x14ac:dyDescent="0.3">
      <c r="A10" s="4" t="s">
        <v>8</v>
      </c>
      <c r="B10" s="5">
        <f>63+16</f>
        <v>79</v>
      </c>
      <c r="C10" s="5">
        <v>16</v>
      </c>
      <c r="D10" s="5"/>
    </row>
    <row r="11" spans="1:5" x14ac:dyDescent="0.3">
      <c r="A11" s="4" t="s">
        <v>9</v>
      </c>
      <c r="B11" s="5">
        <v>1</v>
      </c>
      <c r="C11" s="5">
        <v>0</v>
      </c>
      <c r="D11" s="5"/>
    </row>
    <row r="12" spans="1:5" x14ac:dyDescent="0.3">
      <c r="A12" s="4" t="s">
        <v>10</v>
      </c>
      <c r="B12" s="5">
        <v>108</v>
      </c>
      <c r="C12" s="5">
        <v>20</v>
      </c>
      <c r="D12" s="5"/>
    </row>
    <row r="13" spans="1:5" x14ac:dyDescent="0.3">
      <c r="A13" s="4" t="s">
        <v>11</v>
      </c>
      <c r="B13" s="5">
        <v>0</v>
      </c>
      <c r="C13" s="5">
        <v>0</v>
      </c>
      <c r="D13" s="5"/>
    </row>
    <row r="14" spans="1:5" x14ac:dyDescent="0.3">
      <c r="A14" s="4" t="s">
        <v>12</v>
      </c>
      <c r="B14" s="8">
        <f>8+4</f>
        <v>12</v>
      </c>
      <c r="C14" s="7">
        <v>4</v>
      </c>
      <c r="D14" s="5"/>
    </row>
    <row r="15" spans="1:5" x14ac:dyDescent="0.3">
      <c r="A15" s="4" t="s">
        <v>13</v>
      </c>
      <c r="B15" s="5">
        <v>36</v>
      </c>
      <c r="C15" s="5">
        <v>0</v>
      </c>
      <c r="D15" s="5" t="s">
        <v>231</v>
      </c>
    </row>
    <row r="16" spans="1:5" x14ac:dyDescent="0.3">
      <c r="A16" s="4" t="s">
        <v>14</v>
      </c>
      <c r="B16" s="5">
        <v>0</v>
      </c>
      <c r="C16" s="5">
        <v>0</v>
      </c>
      <c r="D16" s="5"/>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P24"/>
  <sheetViews>
    <sheetView zoomScale="110" zoomScaleNormal="130" workbookViewId="0">
      <selection activeCell="B16" sqref="B16"/>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241</v>
      </c>
      <c r="B1" s="44"/>
      <c r="C1" s="44"/>
      <c r="D1" s="44"/>
      <c r="E1" s="2"/>
    </row>
    <row r="2" spans="1:5" x14ac:dyDescent="0.3">
      <c r="B2" s="9" t="s">
        <v>1</v>
      </c>
      <c r="C2" s="10" t="s">
        <v>0</v>
      </c>
    </row>
    <row r="3" spans="1:5" ht="15" thickBot="1" x14ac:dyDescent="0.35">
      <c r="B3" s="20">
        <f>SUM(B4,B5,B6,B7,B8,B9,B10,B11,B12,B13,B16,B15,B14)</f>
        <v>1075</v>
      </c>
      <c r="C3" s="12">
        <f>SUM(C4,C5,C6,C7,C8,C9,,C10,C11,C12,C13,C16,C15,C14)</f>
        <v>316</v>
      </c>
    </row>
    <row r="4" spans="1:5" s="5" customFormat="1" x14ac:dyDescent="0.3">
      <c r="A4" s="4" t="s">
        <v>2</v>
      </c>
      <c r="B4" s="5">
        <f>129+59</f>
        <v>188</v>
      </c>
      <c r="C4" s="5">
        <v>59</v>
      </c>
    </row>
    <row r="5" spans="1:5" x14ac:dyDescent="0.3">
      <c r="A5" s="4" t="s">
        <v>3</v>
      </c>
      <c r="B5" s="30">
        <f>121+48</f>
        <v>169</v>
      </c>
      <c r="C5" s="30">
        <v>48</v>
      </c>
      <c r="D5" s="5"/>
    </row>
    <row r="6" spans="1:5" x14ac:dyDescent="0.3">
      <c r="A6" s="4" t="s">
        <v>4</v>
      </c>
      <c r="B6" s="19">
        <f>204+151</f>
        <v>355</v>
      </c>
      <c r="C6" s="6">
        <v>151</v>
      </c>
      <c r="D6" s="5"/>
    </row>
    <row r="7" spans="1:5" x14ac:dyDescent="0.3">
      <c r="A7" s="4" t="s">
        <v>5</v>
      </c>
      <c r="B7" s="32">
        <f>99+31</f>
        <v>130</v>
      </c>
      <c r="C7" s="5">
        <v>31</v>
      </c>
      <c r="D7" s="5"/>
    </row>
    <row r="8" spans="1:5" s="15" customFormat="1" x14ac:dyDescent="0.3">
      <c r="A8" s="14" t="s">
        <v>6</v>
      </c>
      <c r="B8" s="6">
        <v>1</v>
      </c>
      <c r="C8" s="6">
        <v>1</v>
      </c>
      <c r="D8" s="5"/>
    </row>
    <row r="9" spans="1:5" x14ac:dyDescent="0.3">
      <c r="A9" s="4" t="s">
        <v>7</v>
      </c>
      <c r="B9" s="5">
        <v>1</v>
      </c>
      <c r="C9" s="5">
        <v>0</v>
      </c>
      <c r="D9" s="5"/>
    </row>
    <row r="10" spans="1:5" x14ac:dyDescent="0.3">
      <c r="A10" s="4" t="s">
        <v>8</v>
      </c>
      <c r="B10" s="5">
        <f>69+14</f>
        <v>83</v>
      </c>
      <c r="C10" s="5">
        <v>14</v>
      </c>
      <c r="D10" s="5"/>
    </row>
    <row r="11" spans="1:5" x14ac:dyDescent="0.3">
      <c r="A11" s="4" t="s">
        <v>9</v>
      </c>
      <c r="B11" s="5">
        <v>1</v>
      </c>
      <c r="C11" s="5">
        <v>0</v>
      </c>
      <c r="D11" s="5"/>
    </row>
    <row r="12" spans="1:5" x14ac:dyDescent="0.3">
      <c r="A12" s="4" t="s">
        <v>10</v>
      </c>
      <c r="B12" s="5">
        <v>94</v>
      </c>
      <c r="C12" s="5">
        <v>12</v>
      </c>
      <c r="D12" s="5"/>
    </row>
    <row r="13" spans="1:5" x14ac:dyDescent="0.3">
      <c r="A13" s="4" t="s">
        <v>11</v>
      </c>
      <c r="B13" s="5">
        <v>0</v>
      </c>
      <c r="C13" s="5">
        <v>0</v>
      </c>
      <c r="D13" s="5"/>
    </row>
    <row r="14" spans="1:5" x14ac:dyDescent="0.3">
      <c r="A14" s="4" t="s">
        <v>12</v>
      </c>
      <c r="B14" s="8">
        <v>1</v>
      </c>
      <c r="C14" s="7">
        <v>0</v>
      </c>
      <c r="D14" s="5"/>
    </row>
    <row r="15" spans="1:5" x14ac:dyDescent="0.3">
      <c r="A15" s="4" t="s">
        <v>13</v>
      </c>
      <c r="B15" s="5">
        <v>52</v>
      </c>
      <c r="C15" s="5">
        <v>0</v>
      </c>
      <c r="D15" s="5" t="s">
        <v>231</v>
      </c>
    </row>
    <row r="16" spans="1:5" x14ac:dyDescent="0.3">
      <c r="A16" s="4" t="s">
        <v>14</v>
      </c>
      <c r="B16" s="5">
        <v>0</v>
      </c>
      <c r="C16" s="5">
        <v>0</v>
      </c>
      <c r="D16" s="5"/>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P24"/>
  <sheetViews>
    <sheetView zoomScale="110" zoomScaleNormal="130" workbookViewId="0">
      <selection activeCell="D18" sqref="D18"/>
    </sheetView>
  </sheetViews>
  <sheetFormatPr defaultColWidth="8.6640625" defaultRowHeight="14.4" x14ac:dyDescent="0.3"/>
  <cols>
    <col min="1" max="1" width="8.6640625" style="1"/>
    <col min="2" max="2" width="13.33203125" style="8" customWidth="1"/>
    <col min="3" max="3" width="12.77734375" style="3" customWidth="1"/>
    <col min="4" max="4" width="17.6640625" style="3" customWidth="1"/>
    <col min="5" max="14" width="12.77734375" style="3" customWidth="1"/>
    <col min="15" max="16" width="13.33203125" style="3" customWidth="1"/>
    <col min="17" max="16384" width="8.6640625" style="1"/>
  </cols>
  <sheetData>
    <row r="1" spans="1:5" ht="15" thickBot="1" x14ac:dyDescent="0.35">
      <c r="A1" s="44" t="s">
        <v>240</v>
      </c>
      <c r="B1" s="44"/>
      <c r="C1" s="44"/>
      <c r="D1" s="44"/>
      <c r="E1" s="2"/>
    </row>
    <row r="2" spans="1:5" x14ac:dyDescent="0.3">
      <c r="B2" s="9" t="s">
        <v>1</v>
      </c>
      <c r="C2" s="10" t="s">
        <v>0</v>
      </c>
    </row>
    <row r="3" spans="1:5" ht="15" thickBot="1" x14ac:dyDescent="0.35">
      <c r="B3" s="20">
        <f>SUM(B4,B5,B6,B7,B8,B9,B10,B11,B12,B13,B16,B15,B14)</f>
        <v>1090</v>
      </c>
      <c r="C3" s="12">
        <f>SUM(C4,C5,C6,C7,C8,C9,,C10,C11,C12,C13,C16,C15,C14)</f>
        <v>295</v>
      </c>
    </row>
    <row r="4" spans="1:5" s="5" customFormat="1" x14ac:dyDescent="0.3">
      <c r="A4" s="4" t="s">
        <v>2</v>
      </c>
      <c r="B4" s="5">
        <f>121+56</f>
        <v>177</v>
      </c>
      <c r="C4" s="5">
        <v>56</v>
      </c>
    </row>
    <row r="5" spans="1:5" x14ac:dyDescent="0.3">
      <c r="A5" s="4" t="s">
        <v>3</v>
      </c>
      <c r="B5" s="30">
        <f>198+43</f>
        <v>241</v>
      </c>
      <c r="C5" s="30">
        <v>43</v>
      </c>
      <c r="D5" s="5"/>
    </row>
    <row r="6" spans="1:5" x14ac:dyDescent="0.3">
      <c r="A6" s="4" t="s">
        <v>4</v>
      </c>
      <c r="B6" s="19">
        <f>197+135</f>
        <v>332</v>
      </c>
      <c r="C6" s="6">
        <v>135</v>
      </c>
      <c r="D6" s="5"/>
    </row>
    <row r="7" spans="1:5" x14ac:dyDescent="0.3">
      <c r="A7" s="4" t="s">
        <v>5</v>
      </c>
      <c r="B7" s="32">
        <f>87+30</f>
        <v>117</v>
      </c>
      <c r="C7" s="5">
        <v>30</v>
      </c>
      <c r="D7" s="5"/>
    </row>
    <row r="8" spans="1:5" s="15" customFormat="1" x14ac:dyDescent="0.3">
      <c r="A8" s="14" t="s">
        <v>6</v>
      </c>
      <c r="B8" s="6">
        <v>1</v>
      </c>
      <c r="C8" s="6">
        <v>1</v>
      </c>
      <c r="D8" s="5"/>
    </row>
    <row r="9" spans="1:5" x14ac:dyDescent="0.3">
      <c r="A9" s="4" t="s">
        <v>7</v>
      </c>
      <c r="B9" s="5">
        <v>1</v>
      </c>
      <c r="C9" s="5">
        <v>0</v>
      </c>
      <c r="D9" s="5"/>
    </row>
    <row r="10" spans="1:5" x14ac:dyDescent="0.3">
      <c r="A10" s="4" t="s">
        <v>8</v>
      </c>
      <c r="B10" s="5">
        <f>69+14</f>
        <v>83</v>
      </c>
      <c r="C10" s="5">
        <v>14</v>
      </c>
      <c r="D10" s="5"/>
    </row>
    <row r="11" spans="1:5" x14ac:dyDescent="0.3">
      <c r="A11" s="4" t="s">
        <v>9</v>
      </c>
      <c r="B11" s="5">
        <v>1</v>
      </c>
      <c r="C11" s="5">
        <v>0</v>
      </c>
      <c r="D11" s="5"/>
    </row>
    <row r="12" spans="1:5" x14ac:dyDescent="0.3">
      <c r="A12" s="4" t="s">
        <v>10</v>
      </c>
      <c r="B12" s="5">
        <v>86</v>
      </c>
      <c r="C12" s="5">
        <v>16</v>
      </c>
      <c r="D12" s="5"/>
    </row>
    <row r="13" spans="1:5" x14ac:dyDescent="0.3">
      <c r="A13" s="4" t="s">
        <v>11</v>
      </c>
      <c r="B13" s="5">
        <v>0</v>
      </c>
      <c r="C13" s="5">
        <v>0</v>
      </c>
      <c r="D13" s="5"/>
    </row>
    <row r="14" spans="1:5" x14ac:dyDescent="0.3">
      <c r="A14" s="4" t="s">
        <v>12</v>
      </c>
      <c r="B14" s="8">
        <v>1</v>
      </c>
      <c r="C14" s="7">
        <v>0</v>
      </c>
      <c r="D14" s="5"/>
    </row>
    <row r="15" spans="1:5" x14ac:dyDescent="0.3">
      <c r="A15" s="4" t="s">
        <v>13</v>
      </c>
      <c r="B15" s="5">
        <v>50</v>
      </c>
      <c r="C15" s="5">
        <v>0</v>
      </c>
      <c r="D15" s="5" t="s">
        <v>231</v>
      </c>
    </row>
    <row r="16" spans="1:5" x14ac:dyDescent="0.3">
      <c r="A16" s="4" t="s">
        <v>14</v>
      </c>
      <c r="B16" s="5">
        <v>0</v>
      </c>
      <c r="C16" s="5">
        <v>0</v>
      </c>
      <c r="D16" s="5"/>
    </row>
    <row r="17" spans="1:2" x14ac:dyDescent="0.3">
      <c r="B17" s="3"/>
    </row>
    <row r="20" spans="1:2" x14ac:dyDescent="0.3">
      <c r="A20" s="1" t="s">
        <v>122</v>
      </c>
    </row>
    <row r="23" spans="1:2" x14ac:dyDescent="0.3">
      <c r="A23" s="31"/>
    </row>
    <row r="24" spans="1:2" x14ac:dyDescent="0.3">
      <c r="A24" s="21"/>
    </row>
  </sheetData>
  <mergeCells count="1">
    <mergeCell ref="A1:D1"/>
  </mergeCells>
  <pageMargins left="0.7" right="0.7" top="0.75" bottom="0.75" header="0.3" footer="0.3"/>
  <pageSetup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291</vt:i4>
      </vt:variant>
    </vt:vector>
  </HeadingPairs>
  <TitlesOfParts>
    <vt:vector size="291" baseType="lpstr">
      <vt:lpstr>August 19, 2022</vt:lpstr>
      <vt:lpstr>August 12, 2022</vt:lpstr>
      <vt:lpstr>August 5, 2022</vt:lpstr>
      <vt:lpstr>July 29, 2022</vt:lpstr>
      <vt:lpstr>July 22, 2022</vt:lpstr>
      <vt:lpstr>July 15, 2022</vt:lpstr>
      <vt:lpstr>July 8, 2022</vt:lpstr>
      <vt:lpstr>June 30, 2022</vt:lpstr>
      <vt:lpstr>June 24, 2022</vt:lpstr>
      <vt:lpstr>June 17, 2022</vt:lpstr>
      <vt:lpstr>June 9, 2022</vt:lpstr>
      <vt:lpstr>June 2, 2022</vt:lpstr>
      <vt:lpstr>May 27, 2022</vt:lpstr>
      <vt:lpstr>May 20, 2022</vt:lpstr>
      <vt:lpstr>May 13, 2022</vt:lpstr>
      <vt:lpstr>May 6, 2022</vt:lpstr>
      <vt:lpstr>April 29, 2022</vt:lpstr>
      <vt:lpstr>April 22, 2022</vt:lpstr>
      <vt:lpstr>April 13, 2022</vt:lpstr>
      <vt:lpstr>April 11, 2022</vt:lpstr>
      <vt:lpstr>April 8, 2022</vt:lpstr>
      <vt:lpstr>April 6, 2022</vt:lpstr>
      <vt:lpstr>April 4, 2022</vt:lpstr>
      <vt:lpstr>April 1, 2022</vt:lpstr>
      <vt:lpstr>March 30, 2022</vt:lpstr>
      <vt:lpstr>March 28, 2022</vt:lpstr>
      <vt:lpstr>March 25, 2022</vt:lpstr>
      <vt:lpstr>March 23, 2022</vt:lpstr>
      <vt:lpstr>March 21, 2022</vt:lpstr>
      <vt:lpstr>March 18, 2022</vt:lpstr>
      <vt:lpstr>March 16, 2022</vt:lpstr>
      <vt:lpstr>March 11, 2022</vt:lpstr>
      <vt:lpstr>March 09, 2022</vt:lpstr>
      <vt:lpstr>March 07, 2022</vt:lpstr>
      <vt:lpstr>March 04, 2022</vt:lpstr>
      <vt:lpstr>March 02, 2022</vt:lpstr>
      <vt:lpstr>February 25, 2022</vt:lpstr>
      <vt:lpstr>February 23, 2022</vt:lpstr>
      <vt:lpstr>February 18, 2022</vt:lpstr>
      <vt:lpstr>February 16, 2022</vt:lpstr>
      <vt:lpstr>February 14, 2022</vt:lpstr>
      <vt:lpstr>February 11, 2022</vt:lpstr>
      <vt:lpstr>February 9, 2022</vt:lpstr>
      <vt:lpstr>February 7, 2022</vt:lpstr>
      <vt:lpstr>February 4, 2022</vt:lpstr>
      <vt:lpstr>February 2, 2022</vt:lpstr>
      <vt:lpstr>January 31, 2022</vt:lpstr>
      <vt:lpstr>January 28, 2022</vt:lpstr>
      <vt:lpstr>January 26, 2022</vt:lpstr>
      <vt:lpstr>January 24, 2022</vt:lpstr>
      <vt:lpstr>January 21, 2022</vt:lpstr>
      <vt:lpstr>January 19, 2022</vt:lpstr>
      <vt:lpstr>January 17, 2022</vt:lpstr>
      <vt:lpstr>January 13, 2022</vt:lpstr>
      <vt:lpstr>January 11, 2022</vt:lpstr>
      <vt:lpstr>January 6, 2022</vt:lpstr>
      <vt:lpstr>December 10, 2021</vt:lpstr>
      <vt:lpstr>December 8, 2021</vt:lpstr>
      <vt:lpstr>December 6, 2021</vt:lpstr>
      <vt:lpstr>December 3, 2021</vt:lpstr>
      <vt:lpstr>December 1, 2021</vt:lpstr>
      <vt:lpstr>November 29, 2021 </vt:lpstr>
      <vt:lpstr>November 26, 2021</vt:lpstr>
      <vt:lpstr>November 24, 2021</vt:lpstr>
      <vt:lpstr>November 22, 2021</vt:lpstr>
      <vt:lpstr>November 19, 2021</vt:lpstr>
      <vt:lpstr>November 17, 2021</vt:lpstr>
      <vt:lpstr>November 15, 2021</vt:lpstr>
      <vt:lpstr>November 11, 2021</vt:lpstr>
      <vt:lpstr>November 8, 2021</vt:lpstr>
      <vt:lpstr>November 5, 2021</vt:lpstr>
      <vt:lpstr>November 3, 2021</vt:lpstr>
      <vt:lpstr>November 1, 2021</vt:lpstr>
      <vt:lpstr>October 28, 2021</vt:lpstr>
      <vt:lpstr>October 26, 2021</vt:lpstr>
      <vt:lpstr>October 21, 2021</vt:lpstr>
      <vt:lpstr>October 20, 2021</vt:lpstr>
      <vt:lpstr>October 18, 2021</vt:lpstr>
      <vt:lpstr>October 14, 2021</vt:lpstr>
      <vt:lpstr>October 12, 2021</vt:lpstr>
      <vt:lpstr>Octover 8, 2021</vt:lpstr>
      <vt:lpstr>October 6, 2021</vt:lpstr>
      <vt:lpstr>October 4, 2021</vt:lpstr>
      <vt:lpstr>October 1, 2021</vt:lpstr>
      <vt:lpstr>September 29, 2021</vt:lpstr>
      <vt:lpstr>September 27, 2021</vt:lpstr>
      <vt:lpstr>September 24, 2021</vt:lpstr>
      <vt:lpstr>September 22, 2021</vt:lpstr>
      <vt:lpstr>September 20, 2021</vt:lpstr>
      <vt:lpstr>September 17, 2021</vt:lpstr>
      <vt:lpstr>September 15, 2021</vt:lpstr>
      <vt:lpstr>September 13, 2021</vt:lpstr>
      <vt:lpstr>September 10, 2021</vt:lpstr>
      <vt:lpstr>September 3, 2021</vt:lpstr>
      <vt:lpstr>August 30, 2021</vt:lpstr>
      <vt:lpstr>August 27, 2021</vt:lpstr>
      <vt:lpstr>August 25, 2021</vt:lpstr>
      <vt:lpstr>August 23, 2021</vt:lpstr>
      <vt:lpstr>August 20, 2021</vt:lpstr>
      <vt:lpstr>August 18, 2021</vt:lpstr>
      <vt:lpstr>August 16, 2021</vt:lpstr>
      <vt:lpstr>August 13, 2021</vt:lpstr>
      <vt:lpstr>August 11, 2021</vt:lpstr>
      <vt:lpstr>August 9, 2021</vt:lpstr>
      <vt:lpstr>August 5, 2021</vt:lpstr>
      <vt:lpstr>August 3, 2021</vt:lpstr>
      <vt:lpstr>July 30, 2021</vt:lpstr>
      <vt:lpstr>July 28, 2021</vt:lpstr>
      <vt:lpstr>July 26, 2021</vt:lpstr>
      <vt:lpstr>July 23, 2021</vt:lpstr>
      <vt:lpstr>July 21, 2021</vt:lpstr>
      <vt:lpstr>July 19, 2021</vt:lpstr>
      <vt:lpstr>July 16, 2021</vt:lpstr>
      <vt:lpstr>July 14, 2021</vt:lpstr>
      <vt:lpstr>July 12, 2021</vt:lpstr>
      <vt:lpstr>July 9, 2021</vt:lpstr>
      <vt:lpstr>July 7, 2021</vt:lpstr>
      <vt:lpstr>July 5, 2021</vt:lpstr>
      <vt:lpstr>June 30, 2021</vt:lpstr>
      <vt:lpstr>June 28, 2021</vt:lpstr>
      <vt:lpstr>June 25, 2021</vt:lpstr>
      <vt:lpstr>June 23, 2021</vt:lpstr>
      <vt:lpstr>June 21, 2021</vt:lpstr>
      <vt:lpstr>June 18, 2021</vt:lpstr>
      <vt:lpstr>June 16, 2021</vt:lpstr>
      <vt:lpstr>June 14, 2021</vt:lpstr>
      <vt:lpstr>June 11, 2021</vt:lpstr>
      <vt:lpstr>June 9, 2021</vt:lpstr>
      <vt:lpstr>June 7, 2021</vt:lpstr>
      <vt:lpstr>June 4, 2021</vt:lpstr>
      <vt:lpstr>June 2, 2021</vt:lpstr>
      <vt:lpstr>May 31, 2021</vt:lpstr>
      <vt:lpstr>May 27, 2021</vt:lpstr>
      <vt:lpstr>May 25, 2021</vt:lpstr>
      <vt:lpstr>May 21, 2021</vt:lpstr>
      <vt:lpstr>May 19, 2021</vt:lpstr>
      <vt:lpstr>May 17, 2021</vt:lpstr>
      <vt:lpstr>May 14, 2021</vt:lpstr>
      <vt:lpstr>May 12, 2021</vt:lpstr>
      <vt:lpstr>May 10, 2021</vt:lpstr>
      <vt:lpstr>May 7, 2021</vt:lpstr>
      <vt:lpstr>May 5, 2021</vt:lpstr>
      <vt:lpstr>May 3, 2021</vt:lpstr>
      <vt:lpstr>April 30, 2021</vt:lpstr>
      <vt:lpstr>April 28, 2021</vt:lpstr>
      <vt:lpstr>April 26, 2021</vt:lpstr>
      <vt:lpstr>April 23, 2021</vt:lpstr>
      <vt:lpstr>April 21, 2021</vt:lpstr>
      <vt:lpstr>April 19, 2021</vt:lpstr>
      <vt:lpstr>April 16, 2021</vt:lpstr>
      <vt:lpstr>April 14, 2021</vt:lpstr>
      <vt:lpstr>April 12, 2021</vt:lpstr>
      <vt:lpstr>April 9, 2021</vt:lpstr>
      <vt:lpstr>April 7, 2021</vt:lpstr>
      <vt:lpstr>April 5, 2021</vt:lpstr>
      <vt:lpstr>March 31, 2021</vt:lpstr>
      <vt:lpstr>March 29, 2021</vt:lpstr>
      <vt:lpstr>March 26, 2021</vt:lpstr>
      <vt:lpstr>March 24, 2021</vt:lpstr>
      <vt:lpstr>March 22, 2021</vt:lpstr>
      <vt:lpstr>March 19, 2021</vt:lpstr>
      <vt:lpstr>March 17, 2021</vt:lpstr>
      <vt:lpstr>March 15, 2021</vt:lpstr>
      <vt:lpstr>March 12, 2021</vt:lpstr>
      <vt:lpstr>March 5, 2021</vt:lpstr>
      <vt:lpstr>March 3, 2021</vt:lpstr>
      <vt:lpstr>March 1, 2021</vt:lpstr>
      <vt:lpstr>February 26, 2021</vt:lpstr>
      <vt:lpstr>February 24, 2021</vt:lpstr>
      <vt:lpstr>February 22, 2021</vt:lpstr>
      <vt:lpstr>February 18, 2021</vt:lpstr>
      <vt:lpstr>February 16, 2021</vt:lpstr>
      <vt:lpstr>February 12, 2021</vt:lpstr>
      <vt:lpstr>February 10, 2021</vt:lpstr>
      <vt:lpstr>February 8, 2021</vt:lpstr>
      <vt:lpstr>February 5, 2021</vt:lpstr>
      <vt:lpstr>February 3, 2021</vt:lpstr>
      <vt:lpstr>February 1, 2021</vt:lpstr>
      <vt:lpstr>January 29, 2021</vt:lpstr>
      <vt:lpstr>January 27, 2021</vt:lpstr>
      <vt:lpstr>January 25, 2021</vt:lpstr>
      <vt:lpstr>January 22, 2021</vt:lpstr>
      <vt:lpstr>January 20, 2021</vt:lpstr>
      <vt:lpstr>January 18, 2021</vt:lpstr>
      <vt:lpstr>January 13, 2021</vt:lpstr>
      <vt:lpstr>January 11, 2021</vt:lpstr>
      <vt:lpstr>January 8, 2021</vt:lpstr>
      <vt:lpstr>January 6, 2021</vt:lpstr>
      <vt:lpstr>January 4, 2021</vt:lpstr>
      <vt:lpstr>December 23, 2020</vt:lpstr>
      <vt:lpstr>December 21, 2020</vt:lpstr>
      <vt:lpstr>December 18, 2020</vt:lpstr>
      <vt:lpstr>December 16, 2020</vt:lpstr>
      <vt:lpstr>December 14, 2020</vt:lpstr>
      <vt:lpstr>December 11, 2020</vt:lpstr>
      <vt:lpstr>December 9, 2020</vt:lpstr>
      <vt:lpstr>December 7, 2020</vt:lpstr>
      <vt:lpstr>December 2, 2020</vt:lpstr>
      <vt:lpstr>November 30, 2020</vt:lpstr>
      <vt:lpstr>November 27, 2020</vt:lpstr>
      <vt:lpstr>November 25, 2020</vt:lpstr>
      <vt:lpstr>November 23, 2020</vt:lpstr>
      <vt:lpstr>November 20, 2020</vt:lpstr>
      <vt:lpstr>November 18, 2020</vt:lpstr>
      <vt:lpstr>November 16, 2020</vt:lpstr>
      <vt:lpstr>November 13, 2020</vt:lpstr>
      <vt:lpstr>November 11, 2020</vt:lpstr>
      <vt:lpstr>November 9, 2020</vt:lpstr>
      <vt:lpstr>November 6, 2020</vt:lpstr>
      <vt:lpstr>November 4, 2020</vt:lpstr>
      <vt:lpstr>November 2, 2020</vt:lpstr>
      <vt:lpstr>October 30, 2020</vt:lpstr>
      <vt:lpstr>October 28, 2020</vt:lpstr>
      <vt:lpstr>October 26, 2020</vt:lpstr>
      <vt:lpstr>October 23, 2020</vt:lpstr>
      <vt:lpstr>October 21, 2020</vt:lpstr>
      <vt:lpstr>October 19, 2020</vt:lpstr>
      <vt:lpstr>October 15, 2020</vt:lpstr>
      <vt:lpstr>October 13, 2020</vt:lpstr>
      <vt:lpstr>October 9, 2020</vt:lpstr>
      <vt:lpstr>October 7, 2020</vt:lpstr>
      <vt:lpstr>October 5, 2020</vt:lpstr>
      <vt:lpstr>October 2, 2020</vt:lpstr>
      <vt:lpstr>September 30, 2020</vt:lpstr>
      <vt:lpstr>September 28, 2020</vt:lpstr>
      <vt:lpstr>September 25, 2020</vt:lpstr>
      <vt:lpstr>September 23, 2020</vt:lpstr>
      <vt:lpstr>September 21, 2020</vt:lpstr>
      <vt:lpstr>September 18, 2020</vt:lpstr>
      <vt:lpstr>September 16, 2020</vt:lpstr>
      <vt:lpstr>September 14, 2020</vt:lpstr>
      <vt:lpstr>September 11, 2020</vt:lpstr>
      <vt:lpstr>September 10, 2020</vt:lpstr>
      <vt:lpstr>September 8, 2020</vt:lpstr>
      <vt:lpstr>September 4, 2020</vt:lpstr>
      <vt:lpstr>September 2, 2020</vt:lpstr>
      <vt:lpstr>August 31, 2020</vt:lpstr>
      <vt:lpstr>August 28, 2020</vt:lpstr>
      <vt:lpstr>August 26, 2020</vt:lpstr>
      <vt:lpstr>August 24, 2020</vt:lpstr>
      <vt:lpstr>August 21, 2020</vt:lpstr>
      <vt:lpstr>August 19, 2020 </vt:lpstr>
      <vt:lpstr>August 17, 2020</vt:lpstr>
      <vt:lpstr>August 14, 2020</vt:lpstr>
      <vt:lpstr>August 12, 2020</vt:lpstr>
      <vt:lpstr>August 10, 2020</vt:lpstr>
      <vt:lpstr>August 07, 2020</vt:lpstr>
      <vt:lpstr>August 05, 2020</vt:lpstr>
      <vt:lpstr>August 04, 2020</vt:lpstr>
      <vt:lpstr>July 29, 2020</vt:lpstr>
      <vt:lpstr>July 27, 2020</vt:lpstr>
      <vt:lpstr>July 24, 2020</vt:lpstr>
      <vt:lpstr>July 22, 2020</vt:lpstr>
      <vt:lpstr>July 20, 2020</vt:lpstr>
      <vt:lpstr>July 17, 2020</vt:lpstr>
      <vt:lpstr>July 15, 2020</vt:lpstr>
      <vt:lpstr>July 13, 2020</vt:lpstr>
      <vt:lpstr>July 10, 2020</vt:lpstr>
      <vt:lpstr>July 08, 2020</vt:lpstr>
      <vt:lpstr>July 06, 2020</vt:lpstr>
      <vt:lpstr>June 29, 2020</vt:lpstr>
      <vt:lpstr>June 26, 2020</vt:lpstr>
      <vt:lpstr>June 24, 2020</vt:lpstr>
      <vt:lpstr>June 22, 2020</vt:lpstr>
      <vt:lpstr>June 19, 2020</vt:lpstr>
      <vt:lpstr>June 17, 2020</vt:lpstr>
      <vt:lpstr>June 15, 2020</vt:lpstr>
      <vt:lpstr>June 12, 2020</vt:lpstr>
      <vt:lpstr>June 10, 2020</vt:lpstr>
      <vt:lpstr>June 08, 2020</vt:lpstr>
      <vt:lpstr>June 05, 2020</vt:lpstr>
      <vt:lpstr>June 03, 2020</vt:lpstr>
      <vt:lpstr>June 01, 2020</vt:lpstr>
      <vt:lpstr>May 29, 2020</vt:lpstr>
      <vt:lpstr>May 27, 2020</vt:lpstr>
      <vt:lpstr>May 25, 2020</vt:lpstr>
      <vt:lpstr>May 21, 2020</vt:lpstr>
      <vt:lpstr>May 19, 2020</vt:lpstr>
      <vt:lpstr>May 15, 2020</vt:lpstr>
      <vt:lpstr>May 13, 2020</vt:lpstr>
      <vt:lpstr>May 11, 2020</vt:lpstr>
      <vt:lpstr>May 6, 2020</vt:lpstr>
      <vt:lpstr>May 4, 2020</vt:lpstr>
      <vt:lpstr>May 1, 2020</vt:lpstr>
      <vt:lpstr>April 29, 2020</vt:lpstr>
      <vt:lpstr>April 27, 2020</vt:lpstr>
      <vt:lpstr>April 24, 2020</vt:lpstr>
      <vt:lpstr>April 22, 2020</vt:lpstr>
      <vt:lpstr>April 20, 2020</vt:lpstr>
      <vt:lpstr>April 16, 2020</vt:lpstr>
      <vt:lpstr>April 13, 2020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Sumaiya Zahoor</dc:creator>
  <cp:lastModifiedBy>Anna Gurov</cp:lastModifiedBy>
  <dcterms:created xsi:type="dcterms:W3CDTF">2020-04-06T19:20:05Z</dcterms:created>
  <dcterms:modified xsi:type="dcterms:W3CDTF">2022-08-19T18:17:06Z</dcterms:modified>
</cp:coreProperties>
</file>